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.younts\Desktop\"/>
    </mc:Choice>
  </mc:AlternateContent>
  <xr:revisionPtr revIDLastSave="0" documentId="8_{C6FBED86-7501-4F3B-877F-5613F93393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Budget Summary" sheetId="1" r:id="rId1"/>
    <sheet name="Tax Rate Data" sheetId="16" r:id="rId2"/>
    <sheet name="Appraised Value Data" sheetId="12" r:id="rId3"/>
    <sheet name="Revenue-R&amp;B" sheetId="2" r:id="rId4"/>
    <sheet name="Revenue-General" sheetId="3" r:id="rId5"/>
    <sheet name="Revenue-Debt Service" sheetId="4" r:id="rId6"/>
  </sheets>
  <definedNames>
    <definedName name="_xlnm.Print_Area" localSheetId="0">'2023 Budget Summary'!$A$1:$J$106</definedName>
    <definedName name="_xlnm.Print_Titles" localSheetId="0">'2023 Budget Summary'!$1:$7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2" l="1"/>
  <c r="J27" i="12"/>
  <c r="R89" i="1"/>
  <c r="R91" i="1"/>
  <c r="F43" i="1"/>
  <c r="N158" i="3"/>
  <c r="N40" i="2"/>
  <c r="F10" i="1"/>
  <c r="F20" i="1"/>
  <c r="N213" i="3"/>
  <c r="F30" i="1"/>
  <c r="F29" i="1"/>
  <c r="F28" i="1"/>
  <c r="F27" i="1"/>
  <c r="E13" i="16"/>
  <c r="P158" i="3"/>
  <c r="N25" i="4" l="1"/>
  <c r="L102" i="1"/>
  <c r="N212" i="3"/>
  <c r="F34" i="1"/>
  <c r="N78" i="3"/>
  <c r="P83" i="3"/>
  <c r="P78" i="3"/>
  <c r="F65" i="1"/>
  <c r="F12" i="1"/>
  <c r="M128" i="1"/>
  <c r="M127" i="1"/>
  <c r="M129" i="1" s="1"/>
  <c r="L127" i="1"/>
  <c r="L129" i="1" s="1"/>
  <c r="O113" i="1"/>
  <c r="O112" i="1"/>
  <c r="L116" i="1"/>
  <c r="L119" i="1" s="1"/>
  <c r="L112" i="1"/>
  <c r="L114" i="1" l="1"/>
  <c r="J158" i="3"/>
  <c r="O158" i="3"/>
  <c r="F88" i="1" l="1"/>
  <c r="J354" i="1"/>
  <c r="I354" i="1"/>
  <c r="E324" i="1" l="1"/>
  <c r="E347" i="1" l="1"/>
  <c r="E355" i="1" s="1"/>
  <c r="L314" i="1"/>
  <c r="L298" i="1"/>
  <c r="L296" i="1"/>
  <c r="E291" i="1"/>
  <c r="E299" i="1" s="1"/>
  <c r="H303" i="1"/>
  <c r="H296" i="1"/>
  <c r="G295" i="1"/>
  <c r="J295" i="1" s="1"/>
  <c r="F295" i="1"/>
  <c r="G293" i="1"/>
  <c r="J293" i="1" s="1"/>
  <c r="F291" i="1"/>
  <c r="E301" i="1" s="1"/>
  <c r="L277" i="1"/>
  <c r="L278" i="1"/>
  <c r="L260" i="1"/>
  <c r="E273" i="1"/>
  <c r="E281" i="1" s="1"/>
  <c r="H285" i="1"/>
  <c r="H278" i="1"/>
  <c r="G277" i="1"/>
  <c r="J277" i="1" s="1"/>
  <c r="F277" i="1"/>
  <c r="G275" i="1"/>
  <c r="J275" i="1" s="1"/>
  <c r="F273" i="1"/>
  <c r="E283" i="1" s="1"/>
  <c r="F299" i="1" l="1"/>
  <c r="E303" i="1"/>
  <c r="G291" i="1"/>
  <c r="E292" i="1"/>
  <c r="F302" i="1"/>
  <c r="F292" i="1"/>
  <c r="F294" i="1" s="1"/>
  <c r="F296" i="1" s="1"/>
  <c r="G301" i="1" s="1"/>
  <c r="J301" i="1" s="1"/>
  <c r="F300" i="1"/>
  <c r="F281" i="1"/>
  <c r="E285" i="1"/>
  <c r="F284" i="1"/>
  <c r="G273" i="1"/>
  <c r="F282" i="1"/>
  <c r="E274" i="1"/>
  <c r="F274" i="1"/>
  <c r="F276" i="1" s="1"/>
  <c r="F278" i="1" s="1"/>
  <c r="G283" i="1" s="1"/>
  <c r="J283" i="1" s="1"/>
  <c r="J291" i="1" l="1"/>
  <c r="E103" i="1"/>
  <c r="G103" i="1" s="1"/>
  <c r="E294" i="1"/>
  <c r="G292" i="1"/>
  <c r="J292" i="1" s="1"/>
  <c r="F303" i="1"/>
  <c r="J273" i="1"/>
  <c r="E102" i="1"/>
  <c r="G102" i="1" s="1"/>
  <c r="G274" i="1"/>
  <c r="J274" i="1" s="1"/>
  <c r="E276" i="1"/>
  <c r="F285" i="1"/>
  <c r="E296" i="1" l="1"/>
  <c r="G294" i="1"/>
  <c r="G276" i="1"/>
  <c r="E278" i="1"/>
  <c r="J294" i="1" l="1"/>
  <c r="G296" i="1"/>
  <c r="J296" i="1" s="1"/>
  <c r="H103" i="1" s="1"/>
  <c r="G299" i="1"/>
  <c r="G302" i="1"/>
  <c r="J302" i="1" s="1"/>
  <c r="G300" i="1"/>
  <c r="J300" i="1" s="1"/>
  <c r="G282" i="1"/>
  <c r="J282" i="1" s="1"/>
  <c r="G281" i="1"/>
  <c r="G284" i="1"/>
  <c r="J284" i="1" s="1"/>
  <c r="J276" i="1"/>
  <c r="G278" i="1"/>
  <c r="J278" i="1" s="1"/>
  <c r="H102" i="1" s="1"/>
  <c r="G303" i="1" l="1"/>
  <c r="J299" i="1"/>
  <c r="J303" i="1" s="1"/>
  <c r="G285" i="1"/>
  <c r="J281" i="1"/>
  <c r="J285" i="1" s="1"/>
  <c r="E255" i="1" l="1"/>
  <c r="E256" i="1" s="1"/>
  <c r="H267" i="1"/>
  <c r="H260" i="1"/>
  <c r="G259" i="1"/>
  <c r="J259" i="1" s="1"/>
  <c r="F259" i="1"/>
  <c r="G257" i="1"/>
  <c r="J257" i="1" s="1"/>
  <c r="F255" i="1"/>
  <c r="E265" i="1" s="1"/>
  <c r="F256" i="1" l="1"/>
  <c r="F258" i="1" s="1"/>
  <c r="F260" i="1" s="1"/>
  <c r="G265" i="1" s="1"/>
  <c r="J265" i="1" s="1"/>
  <c r="E263" i="1"/>
  <c r="F263" i="1" s="1"/>
  <c r="E258" i="1"/>
  <c r="F266" i="1"/>
  <c r="G255" i="1"/>
  <c r="F264" i="1"/>
  <c r="E267" i="1" l="1"/>
  <c r="G256" i="1"/>
  <c r="J256" i="1" s="1"/>
  <c r="J255" i="1"/>
  <c r="E101" i="1"/>
  <c r="G101" i="1" s="1"/>
  <c r="F267" i="1"/>
  <c r="G258" i="1"/>
  <c r="E260" i="1"/>
  <c r="N216" i="3"/>
  <c r="G264" i="1" l="1"/>
  <c r="J264" i="1" s="1"/>
  <c r="G266" i="1"/>
  <c r="J266" i="1" s="1"/>
  <c r="G263" i="1"/>
  <c r="G260" i="1"/>
  <c r="J260" i="1" s="1"/>
  <c r="H101" i="1" s="1"/>
  <c r="J258" i="1"/>
  <c r="F309" i="1"/>
  <c r="E319" i="1" s="1"/>
  <c r="E327" i="1"/>
  <c r="E335" i="1" s="1"/>
  <c r="E309" i="1"/>
  <c r="E317" i="1" s="1"/>
  <c r="H339" i="1"/>
  <c r="H332" i="1"/>
  <c r="G331" i="1"/>
  <c r="J331" i="1" s="1"/>
  <c r="F331" i="1"/>
  <c r="G329" i="1"/>
  <c r="J329" i="1" s="1"/>
  <c r="F327" i="1"/>
  <c r="E337" i="1" s="1"/>
  <c r="N332" i="1"/>
  <c r="N326" i="1"/>
  <c r="H321" i="1"/>
  <c r="H314" i="1"/>
  <c r="G313" i="1"/>
  <c r="J313" i="1" s="1"/>
  <c r="F313" i="1"/>
  <c r="G311" i="1"/>
  <c r="J311" i="1" s="1"/>
  <c r="E165" i="1"/>
  <c r="E219" i="1"/>
  <c r="E201" i="1"/>
  <c r="E183" i="1"/>
  <c r="E147" i="1"/>
  <c r="E129" i="1"/>
  <c r="E237" i="1"/>
  <c r="G267" i="1" l="1"/>
  <c r="J263" i="1"/>
  <c r="J267" i="1" s="1"/>
  <c r="F328" i="1"/>
  <c r="F330" i="1" s="1"/>
  <c r="F332" i="1" s="1"/>
  <c r="G337" i="1" s="1"/>
  <c r="J337" i="1" s="1"/>
  <c r="E339" i="1"/>
  <c r="E328" i="1"/>
  <c r="E330" i="1" s="1"/>
  <c r="E332" i="1" s="1"/>
  <c r="F336" i="1"/>
  <c r="F338" i="1"/>
  <c r="F335" i="1"/>
  <c r="G327" i="1"/>
  <c r="F317" i="1"/>
  <c r="E321" i="1"/>
  <c r="G309" i="1"/>
  <c r="E104" i="1" s="1"/>
  <c r="F320" i="1"/>
  <c r="F318" i="1"/>
  <c r="E310" i="1"/>
  <c r="F310" i="1"/>
  <c r="F312" i="1" s="1"/>
  <c r="F314" i="1" s="1"/>
  <c r="G319" i="1" s="1"/>
  <c r="J319" i="1" s="1"/>
  <c r="G328" i="1" l="1"/>
  <c r="J328" i="1" s="1"/>
  <c r="J327" i="1"/>
  <c r="E105" i="1"/>
  <c r="G105" i="1" s="1"/>
  <c r="G330" i="1"/>
  <c r="G332" i="1" s="1"/>
  <c r="J332" i="1" s="1"/>
  <c r="H105" i="1" s="1"/>
  <c r="G104" i="1"/>
  <c r="F339" i="1"/>
  <c r="G336" i="1"/>
  <c r="J336" i="1" s="1"/>
  <c r="G335" i="1"/>
  <c r="G338" i="1"/>
  <c r="J338" i="1" s="1"/>
  <c r="J309" i="1"/>
  <c r="F321" i="1"/>
  <c r="G310" i="1"/>
  <c r="J310" i="1" s="1"/>
  <c r="E312" i="1"/>
  <c r="J330" i="1" l="1"/>
  <c r="G339" i="1"/>
  <c r="J335" i="1"/>
  <c r="J339" i="1" s="1"/>
  <c r="G312" i="1"/>
  <c r="E314" i="1"/>
  <c r="G317" i="1" l="1"/>
  <c r="G318" i="1"/>
  <c r="J318" i="1" s="1"/>
  <c r="G320" i="1"/>
  <c r="J320" i="1" s="1"/>
  <c r="J312" i="1"/>
  <c r="G314" i="1"/>
  <c r="J314" i="1" s="1"/>
  <c r="H104" i="1" s="1"/>
  <c r="G321" i="1" l="1"/>
  <c r="J317" i="1"/>
  <c r="J321" i="1" s="1"/>
  <c r="E137" i="1" l="1"/>
  <c r="F129" i="1"/>
  <c r="E191" i="1"/>
  <c r="F212" i="1"/>
  <c r="E227" i="1"/>
  <c r="F237" i="1"/>
  <c r="E247" i="1" s="1"/>
  <c r="F219" i="1"/>
  <c r="F220" i="1" s="1"/>
  <c r="F222" i="1" s="1"/>
  <c r="H231" i="1"/>
  <c r="H224" i="1"/>
  <c r="G223" i="1"/>
  <c r="J223" i="1" s="1"/>
  <c r="F223" i="1"/>
  <c r="G221" i="1"/>
  <c r="J221" i="1" s="1"/>
  <c r="F201" i="1"/>
  <c r="F202" i="1" s="1"/>
  <c r="F204" i="1" s="1"/>
  <c r="H213" i="1"/>
  <c r="H206" i="1"/>
  <c r="G205" i="1"/>
  <c r="J205" i="1" s="1"/>
  <c r="F205" i="1"/>
  <c r="G203" i="1"/>
  <c r="J203" i="1" s="1"/>
  <c r="F183" i="1"/>
  <c r="F184" i="1" s="1"/>
  <c r="F186" i="1" s="1"/>
  <c r="H195" i="1"/>
  <c r="H188" i="1"/>
  <c r="G187" i="1"/>
  <c r="J187" i="1" s="1"/>
  <c r="F187" i="1"/>
  <c r="G185" i="1"/>
  <c r="J185" i="1" s="1"/>
  <c r="F165" i="1"/>
  <c r="E175" i="1" s="1"/>
  <c r="H177" i="1"/>
  <c r="H170" i="1"/>
  <c r="G169" i="1"/>
  <c r="J169" i="1" s="1"/>
  <c r="F169" i="1"/>
  <c r="G167" i="1"/>
  <c r="J167" i="1" s="1"/>
  <c r="H249" i="1"/>
  <c r="H242" i="1"/>
  <c r="G241" i="1"/>
  <c r="J241" i="1" s="1"/>
  <c r="F241" i="1"/>
  <c r="G239" i="1"/>
  <c r="J239" i="1" s="1"/>
  <c r="F147" i="1"/>
  <c r="E157" i="1" s="1"/>
  <c r="H159" i="1"/>
  <c r="H152" i="1"/>
  <c r="G151" i="1"/>
  <c r="J151" i="1" s="1"/>
  <c r="F151" i="1"/>
  <c r="G149" i="1"/>
  <c r="J149" i="1" s="1"/>
  <c r="E111" i="1"/>
  <c r="F194" i="1" l="1"/>
  <c r="F188" i="1"/>
  <c r="G193" i="1" s="1"/>
  <c r="J193" i="1" s="1"/>
  <c r="F224" i="1"/>
  <c r="G229" i="1" s="1"/>
  <c r="J229" i="1" s="1"/>
  <c r="F206" i="1"/>
  <c r="G211" i="1" s="1"/>
  <c r="J211" i="1" s="1"/>
  <c r="F148" i="1"/>
  <c r="F150" i="1" s="1"/>
  <c r="F152" i="1" s="1"/>
  <c r="G157" i="1" s="1"/>
  <c r="J157" i="1" s="1"/>
  <c r="F230" i="1"/>
  <c r="F246" i="1"/>
  <c r="E245" i="1"/>
  <c r="E249" i="1" s="1"/>
  <c r="E209" i="1"/>
  <c r="F209" i="1" s="1"/>
  <c r="E193" i="1"/>
  <c r="E195" i="1" s="1"/>
  <c r="F176" i="1"/>
  <c r="E173" i="1"/>
  <c r="E177" i="1" s="1"/>
  <c r="E148" i="1"/>
  <c r="E150" i="1" s="1"/>
  <c r="E155" i="1"/>
  <c r="F238" i="1"/>
  <c r="F240" i="1" s="1"/>
  <c r="F242" i="1" s="1"/>
  <c r="G247" i="1" s="1"/>
  <c r="J247" i="1" s="1"/>
  <c r="E229" i="1"/>
  <c r="E231" i="1" s="1"/>
  <c r="G219" i="1"/>
  <c r="F228" i="1"/>
  <c r="F227" i="1"/>
  <c r="E220" i="1"/>
  <c r="G220" i="1" s="1"/>
  <c r="J220" i="1" s="1"/>
  <c r="F210" i="1"/>
  <c r="G201" i="1"/>
  <c r="E202" i="1"/>
  <c r="E211" i="1"/>
  <c r="F192" i="1"/>
  <c r="F191" i="1"/>
  <c r="G183" i="1"/>
  <c r="E184" i="1"/>
  <c r="E186" i="1" s="1"/>
  <c r="G186" i="1" s="1"/>
  <c r="G147" i="1"/>
  <c r="E238" i="1"/>
  <c r="E240" i="1" s="1"/>
  <c r="E242" i="1" s="1"/>
  <c r="F166" i="1"/>
  <c r="F168" i="1" s="1"/>
  <c r="F170" i="1" s="1"/>
  <c r="G175" i="1" s="1"/>
  <c r="J175" i="1" s="1"/>
  <c r="E166" i="1"/>
  <c r="E168" i="1" s="1"/>
  <c r="F174" i="1"/>
  <c r="G165" i="1"/>
  <c r="F248" i="1"/>
  <c r="G237" i="1"/>
  <c r="F158" i="1"/>
  <c r="F156" i="1"/>
  <c r="H141" i="1"/>
  <c r="H123" i="1"/>
  <c r="J237" i="1" l="1"/>
  <c r="E100" i="1"/>
  <c r="J219" i="1"/>
  <c r="E99" i="1"/>
  <c r="J201" i="1"/>
  <c r="E98" i="1"/>
  <c r="J183" i="1"/>
  <c r="E97" i="1"/>
  <c r="J165" i="1"/>
  <c r="E96" i="1"/>
  <c r="J147" i="1"/>
  <c r="E95" i="1"/>
  <c r="E213" i="1"/>
  <c r="F231" i="1"/>
  <c r="F245" i="1"/>
  <c r="F249" i="1" s="1"/>
  <c r="F173" i="1"/>
  <c r="F177" i="1" s="1"/>
  <c r="G148" i="1"/>
  <c r="J148" i="1" s="1"/>
  <c r="G184" i="1"/>
  <c r="J184" i="1" s="1"/>
  <c r="F213" i="1"/>
  <c r="G238" i="1"/>
  <c r="J238" i="1" s="1"/>
  <c r="G168" i="1"/>
  <c r="J168" i="1" s="1"/>
  <c r="F195" i="1"/>
  <c r="E222" i="1"/>
  <c r="E224" i="1" s="1"/>
  <c r="G240" i="1"/>
  <c r="G242" i="1" s="1"/>
  <c r="J242" i="1" s="1"/>
  <c r="H100" i="1" s="1"/>
  <c r="G202" i="1"/>
  <c r="J202" i="1" s="1"/>
  <c r="E204" i="1"/>
  <c r="E188" i="1"/>
  <c r="G192" i="1" s="1"/>
  <c r="J192" i="1" s="1"/>
  <c r="G188" i="1"/>
  <c r="J188" i="1" s="1"/>
  <c r="H97" i="1" s="1"/>
  <c r="J186" i="1"/>
  <c r="G166" i="1"/>
  <c r="J166" i="1" s="1"/>
  <c r="E170" i="1"/>
  <c r="G246" i="1"/>
  <c r="J246" i="1" s="1"/>
  <c r="G248" i="1"/>
  <c r="J248" i="1" s="1"/>
  <c r="E152" i="1"/>
  <c r="G150" i="1"/>
  <c r="F137" i="1"/>
  <c r="F138" i="1"/>
  <c r="F122" i="1"/>
  <c r="F140" i="1"/>
  <c r="H134" i="1"/>
  <c r="H116" i="1"/>
  <c r="G245" i="1" l="1"/>
  <c r="G249" i="1" s="1"/>
  <c r="G173" i="1"/>
  <c r="J173" i="1" s="1"/>
  <c r="G222" i="1"/>
  <c r="G224" i="1" s="1"/>
  <c r="J224" i="1" s="1"/>
  <c r="H99" i="1" s="1"/>
  <c r="G170" i="1"/>
  <c r="J170" i="1" s="1"/>
  <c r="H96" i="1" s="1"/>
  <c r="G194" i="1"/>
  <c r="J194" i="1" s="1"/>
  <c r="G191" i="1"/>
  <c r="J191" i="1" s="1"/>
  <c r="J240" i="1"/>
  <c r="G228" i="1"/>
  <c r="J228" i="1" s="1"/>
  <c r="G230" i="1"/>
  <c r="J230" i="1" s="1"/>
  <c r="G227" i="1"/>
  <c r="G204" i="1"/>
  <c r="E206" i="1"/>
  <c r="G176" i="1"/>
  <c r="J176" i="1" s="1"/>
  <c r="G174" i="1"/>
  <c r="J174" i="1" s="1"/>
  <c r="G156" i="1"/>
  <c r="J156" i="1" s="1"/>
  <c r="G158" i="1"/>
  <c r="J158" i="1" s="1"/>
  <c r="G152" i="1"/>
  <c r="J152" i="1" s="1"/>
  <c r="H95" i="1" s="1"/>
  <c r="J150" i="1"/>
  <c r="O10" i="2"/>
  <c r="O11" i="2"/>
  <c r="M15" i="12"/>
  <c r="M12" i="12"/>
  <c r="M11" i="12"/>
  <c r="M26" i="12"/>
  <c r="K16" i="12"/>
  <c r="K15" i="12"/>
  <c r="K14" i="12"/>
  <c r="K13" i="12"/>
  <c r="K12" i="12"/>
  <c r="K11" i="12"/>
  <c r="J16" i="12"/>
  <c r="M16" i="12" s="1"/>
  <c r="J15" i="12"/>
  <c r="J14" i="12"/>
  <c r="M14" i="12" s="1"/>
  <c r="J13" i="12"/>
  <c r="M13" i="12" s="1"/>
  <c r="J12" i="12"/>
  <c r="J11" i="12"/>
  <c r="K26" i="12"/>
  <c r="J26" i="12"/>
  <c r="J23" i="12"/>
  <c r="J245" i="1" l="1"/>
  <c r="J249" i="1" s="1"/>
  <c r="J222" i="1"/>
  <c r="J195" i="1"/>
  <c r="G195" i="1"/>
  <c r="G231" i="1"/>
  <c r="J227" i="1"/>
  <c r="J231" i="1" s="1"/>
  <c r="G210" i="1"/>
  <c r="J210" i="1" s="1"/>
  <c r="G209" i="1"/>
  <c r="G212" i="1"/>
  <c r="J212" i="1" s="1"/>
  <c r="J204" i="1"/>
  <c r="G206" i="1"/>
  <c r="J206" i="1" s="1"/>
  <c r="H98" i="1" s="1"/>
  <c r="J177" i="1"/>
  <c r="G177" i="1"/>
  <c r="F112" i="1"/>
  <c r="G213" i="1" l="1"/>
  <c r="J209" i="1"/>
  <c r="J213" i="1" s="1"/>
  <c r="G60" i="1"/>
  <c r="G52" i="1"/>
  <c r="G51" i="1"/>
  <c r="G50" i="1"/>
  <c r="G49" i="1"/>
  <c r="G48" i="1"/>
  <c r="G47" i="1"/>
  <c r="G44" i="1"/>
  <c r="G65" i="1"/>
  <c r="G12" i="1"/>
  <c r="O83" i="3"/>
  <c r="J83" i="3"/>
  <c r="E112" i="1"/>
  <c r="E114" i="1" s="1"/>
  <c r="J58" i="3" l="1"/>
  <c r="O58" i="3" s="1"/>
  <c r="J22" i="12" l="1"/>
  <c r="H24" i="12"/>
  <c r="J25" i="12" s="1"/>
  <c r="K25" i="12" l="1"/>
  <c r="M25" i="12"/>
  <c r="K22" i="12"/>
  <c r="M22" i="12"/>
  <c r="K23" i="12"/>
  <c r="M23" i="12"/>
  <c r="J24" i="12"/>
  <c r="J21" i="12"/>
  <c r="J20" i="12"/>
  <c r="J19" i="12"/>
  <c r="J18" i="12"/>
  <c r="J17" i="12"/>
  <c r="K18" i="12" l="1"/>
  <c r="M18" i="12"/>
  <c r="K17" i="12"/>
  <c r="M17" i="12"/>
  <c r="K19" i="12"/>
  <c r="M19" i="12"/>
  <c r="K20" i="12"/>
  <c r="M20" i="12"/>
  <c r="K24" i="12"/>
  <c r="M24" i="12"/>
  <c r="K21" i="12"/>
  <c r="M21" i="12"/>
  <c r="G96" i="1" l="1"/>
  <c r="G93" i="1"/>
  <c r="G100" i="1"/>
  <c r="G99" i="1"/>
  <c r="G98" i="1"/>
  <c r="G97" i="1"/>
  <c r="G95" i="1"/>
  <c r="E139" i="1" l="1"/>
  <c r="E141" i="1" s="1"/>
  <c r="G133" i="1"/>
  <c r="J133" i="1" s="1"/>
  <c r="F133" i="1"/>
  <c r="G131" i="1"/>
  <c r="J131" i="1" s="1"/>
  <c r="G129" i="1" l="1"/>
  <c r="F141" i="1"/>
  <c r="F130" i="1"/>
  <c r="F132" i="1" s="1"/>
  <c r="F134" i="1" s="1"/>
  <c r="G139" i="1" s="1"/>
  <c r="E130" i="1"/>
  <c r="J129" i="1" l="1"/>
  <c r="E94" i="1"/>
  <c r="G94" i="1" s="1"/>
  <c r="J139" i="1"/>
  <c r="E132" i="1"/>
  <c r="G130" i="1"/>
  <c r="J130" i="1" s="1"/>
  <c r="G132" i="1" l="1"/>
  <c r="E134" i="1"/>
  <c r="G137" i="1" l="1"/>
  <c r="G140" i="1"/>
  <c r="J140" i="1" s="1"/>
  <c r="G138" i="1"/>
  <c r="J138" i="1" s="1"/>
  <c r="G134" i="1"/>
  <c r="J134" i="1" s="1"/>
  <c r="H94" i="1" s="1"/>
  <c r="J132" i="1"/>
  <c r="L167" i="3"/>
  <c r="L166" i="3"/>
  <c r="J171" i="3"/>
  <c r="O171" i="3" s="1"/>
  <c r="O107" i="3"/>
  <c r="J107" i="3"/>
  <c r="J95" i="3"/>
  <c r="O95" i="3" s="1"/>
  <c r="J89" i="3"/>
  <c r="O89" i="3" s="1"/>
  <c r="J72" i="3"/>
  <c r="O72" i="3" s="1"/>
  <c r="J60" i="3"/>
  <c r="O60" i="3" s="1"/>
  <c r="J17" i="3"/>
  <c r="O17" i="3" s="1"/>
  <c r="J16" i="3"/>
  <c r="O16" i="3" s="1"/>
  <c r="J137" i="1" l="1"/>
  <c r="J141" i="1" s="1"/>
  <c r="G141" i="1"/>
  <c r="L27" i="2"/>
  <c r="L24" i="2"/>
  <c r="L17" i="2"/>
  <c r="O212" i="3" l="1"/>
  <c r="E121" i="1" l="1"/>
  <c r="O193" i="3" l="1"/>
  <c r="O74" i="3"/>
  <c r="L214" i="3" l="1"/>
  <c r="L211" i="3"/>
  <c r="L210" i="3"/>
  <c r="L209" i="3"/>
  <c r="L208" i="3"/>
  <c r="L205" i="3"/>
  <c r="L202" i="3"/>
  <c r="L201" i="3"/>
  <c r="L200" i="3"/>
  <c r="L199" i="3"/>
  <c r="L194" i="3"/>
  <c r="L183" i="3"/>
  <c r="L182" i="3"/>
  <c r="L180" i="3"/>
  <c r="L174" i="3"/>
  <c r="L165" i="3"/>
  <c r="L154" i="3"/>
  <c r="L153" i="3"/>
  <c r="L152" i="3"/>
  <c r="L150" i="3"/>
  <c r="L149" i="3"/>
  <c r="L143" i="3"/>
  <c r="L61" i="3"/>
  <c r="L42" i="3"/>
  <c r="L41" i="3"/>
  <c r="L39" i="3"/>
  <c r="L26" i="3"/>
  <c r="L24" i="3"/>
  <c r="L23" i="3"/>
  <c r="L13" i="3"/>
  <c r="J74" i="3"/>
  <c r="J51" i="3"/>
  <c r="O51" i="3" s="1"/>
  <c r="H41" i="1" l="1"/>
  <c r="J41" i="1" s="1"/>
  <c r="J161" i="3" l="1"/>
  <c r="O161" i="3" s="1"/>
  <c r="J59" i="3"/>
  <c r="O59" i="3" s="1"/>
  <c r="J193" i="3" l="1"/>
  <c r="O11" i="3" l="1"/>
  <c r="J11" i="3"/>
  <c r="F13" i="1" l="1"/>
  <c r="F120" i="1" l="1"/>
  <c r="F119" i="1"/>
  <c r="G115" i="1"/>
  <c r="J115" i="1" s="1"/>
  <c r="F115" i="1"/>
  <c r="G113" i="1"/>
  <c r="J113" i="1" s="1"/>
  <c r="L120" i="1" s="1"/>
  <c r="L121" i="1" s="1"/>
  <c r="E123" i="1"/>
  <c r="F114" i="1" l="1"/>
  <c r="F116" i="1" s="1"/>
  <c r="G121" i="1" s="1"/>
  <c r="J121" i="1" s="1"/>
  <c r="F123" i="1"/>
  <c r="G111" i="1"/>
  <c r="J111" i="1" s="1"/>
  <c r="G112" i="1" l="1"/>
  <c r="J112" i="1" s="1"/>
  <c r="E116" i="1"/>
  <c r="G114" i="1"/>
  <c r="G116" i="1" l="1"/>
  <c r="J116" i="1" s="1"/>
  <c r="H93" i="1" s="1"/>
  <c r="J114" i="1"/>
  <c r="G119" i="1"/>
  <c r="J119" i="1" s="1"/>
  <c r="G122" i="1"/>
  <c r="J122" i="1" s="1"/>
  <c r="G120" i="1"/>
  <c r="J120" i="1" s="1"/>
  <c r="J123" i="1" l="1"/>
  <c r="G123" i="1"/>
  <c r="L216" i="3" l="1"/>
  <c r="O213" i="3" l="1"/>
  <c r="O195" i="3"/>
  <c r="O191" i="3"/>
  <c r="O188" i="3"/>
  <c r="O185" i="3"/>
  <c r="O184" i="3"/>
  <c r="O179" i="3"/>
  <c r="O177" i="3"/>
  <c r="O175" i="3"/>
  <c r="O166" i="3"/>
  <c r="O164" i="3"/>
  <c r="O163" i="3"/>
  <c r="O162" i="3"/>
  <c r="O157" i="3"/>
  <c r="O156" i="3"/>
  <c r="O155" i="3"/>
  <c r="O142" i="3"/>
  <c r="O106" i="3"/>
  <c r="O84" i="3"/>
  <c r="O75" i="3"/>
  <c r="O68" i="3"/>
  <c r="O67" i="3"/>
  <c r="O66" i="3"/>
  <c r="O65" i="3"/>
  <c r="O64" i="3"/>
  <c r="O62" i="3"/>
  <c r="O55" i="3"/>
  <c r="O45" i="3"/>
  <c r="O44" i="3"/>
  <c r="O40" i="2"/>
  <c r="O33" i="2"/>
  <c r="O32" i="2"/>
  <c r="O28" i="2"/>
  <c r="O26" i="2"/>
  <c r="O25" i="2"/>
  <c r="O16" i="2"/>
  <c r="J160" i="3"/>
  <c r="O160" i="3" s="1"/>
  <c r="J139" i="3"/>
  <c r="O139" i="3" s="1"/>
  <c r="J94" i="3"/>
  <c r="O94" i="3" s="1"/>
  <c r="J62" i="3"/>
  <c r="J16" i="2" l="1"/>
  <c r="J142" i="3" l="1"/>
  <c r="J141" i="3"/>
  <c r="O141" i="3" s="1"/>
  <c r="J13" i="3" l="1"/>
  <c r="J14" i="3"/>
  <c r="J15" i="3"/>
  <c r="J18" i="3"/>
  <c r="J19" i="3"/>
  <c r="J20" i="3"/>
  <c r="J21" i="3"/>
  <c r="O21" i="3" s="1"/>
  <c r="J22" i="3"/>
  <c r="J23" i="3"/>
  <c r="O23" i="3" s="1"/>
  <c r="J25" i="3"/>
  <c r="O25" i="3" s="1"/>
  <c r="J27" i="3"/>
  <c r="O27" i="3" s="1"/>
  <c r="J28" i="3"/>
  <c r="O28" i="3" s="1"/>
  <c r="J29" i="3"/>
  <c r="O29" i="3" s="1"/>
  <c r="J30" i="3"/>
  <c r="O30" i="3" s="1"/>
  <c r="J31" i="3"/>
  <c r="O31" i="3" s="1"/>
  <c r="J32" i="3"/>
  <c r="O32" i="3" s="1"/>
  <c r="J33" i="3"/>
  <c r="O33" i="3" s="1"/>
  <c r="J34" i="3"/>
  <c r="O34" i="3" s="1"/>
  <c r="J35" i="3"/>
  <c r="O35" i="3" s="1"/>
  <c r="J36" i="3"/>
  <c r="O36" i="3" s="1"/>
  <c r="J37" i="3"/>
  <c r="O37" i="3" s="1"/>
  <c r="J38" i="3"/>
  <c r="O38" i="3" s="1"/>
  <c r="J39" i="3"/>
  <c r="O39" i="3" s="1"/>
  <c r="J40" i="3"/>
  <c r="O40" i="3" s="1"/>
  <c r="J43" i="3"/>
  <c r="O43" i="3" s="1"/>
  <c r="J46" i="3"/>
  <c r="O46" i="3" s="1"/>
  <c r="J47" i="3"/>
  <c r="O47" i="3" s="1"/>
  <c r="J48" i="3"/>
  <c r="O48" i="3" s="1"/>
  <c r="J49" i="3"/>
  <c r="O49" i="3" s="1"/>
  <c r="J50" i="3"/>
  <c r="O50" i="3" s="1"/>
  <c r="J52" i="3"/>
  <c r="O52" i="3" s="1"/>
  <c r="J53" i="3"/>
  <c r="O53" i="3" s="1"/>
  <c r="J54" i="3"/>
  <c r="O54" i="3" s="1"/>
  <c r="J56" i="3"/>
  <c r="O56" i="3" s="1"/>
  <c r="J57" i="3"/>
  <c r="O57" i="3" s="1"/>
  <c r="J61" i="3"/>
  <c r="O61" i="3" s="1"/>
  <c r="J63" i="3"/>
  <c r="J64" i="3"/>
  <c r="J65" i="3"/>
  <c r="J66" i="3"/>
  <c r="J67" i="3"/>
  <c r="J68" i="3"/>
  <c r="J69" i="3"/>
  <c r="J70" i="3"/>
  <c r="J71" i="3"/>
  <c r="J73" i="3"/>
  <c r="O73" i="3" s="1"/>
  <c r="J75" i="3"/>
  <c r="J76" i="3"/>
  <c r="O76" i="3" s="1"/>
  <c r="J77" i="3"/>
  <c r="J78" i="3"/>
  <c r="J79" i="3"/>
  <c r="J80" i="3"/>
  <c r="J81" i="3"/>
  <c r="J82" i="3"/>
  <c r="J84" i="3"/>
  <c r="J85" i="3"/>
  <c r="O85" i="3" s="1"/>
  <c r="J86" i="3"/>
  <c r="O86" i="3" s="1"/>
  <c r="J87" i="3"/>
  <c r="O87" i="3" s="1"/>
  <c r="J90" i="3"/>
  <c r="O90" i="3" s="1"/>
  <c r="J91" i="3"/>
  <c r="O91" i="3" s="1"/>
  <c r="J92" i="3"/>
  <c r="O92" i="3" s="1"/>
  <c r="J93" i="3"/>
  <c r="O93" i="3" s="1"/>
  <c r="J96" i="3"/>
  <c r="O96" i="3" s="1"/>
  <c r="J97" i="3"/>
  <c r="O97" i="3" s="1"/>
  <c r="J98" i="3"/>
  <c r="O98" i="3" s="1"/>
  <c r="J99" i="3"/>
  <c r="O99" i="3" s="1"/>
  <c r="J100" i="3"/>
  <c r="O100" i="3" s="1"/>
  <c r="J101" i="3"/>
  <c r="O101" i="3" s="1"/>
  <c r="J102" i="3"/>
  <c r="O102" i="3" s="1"/>
  <c r="J103" i="3"/>
  <c r="O103" i="3" s="1"/>
  <c r="J104" i="3"/>
  <c r="O104" i="3" s="1"/>
  <c r="J105" i="3"/>
  <c r="O105" i="3" s="1"/>
  <c r="J106" i="3"/>
  <c r="J108" i="3"/>
  <c r="O108" i="3" s="1"/>
  <c r="J109" i="3"/>
  <c r="O109" i="3" s="1"/>
  <c r="J110" i="3"/>
  <c r="O110" i="3" s="1"/>
  <c r="J111" i="3"/>
  <c r="O111" i="3" s="1"/>
  <c r="J112" i="3"/>
  <c r="O112" i="3" s="1"/>
  <c r="J113" i="3"/>
  <c r="O113" i="3" s="1"/>
  <c r="J114" i="3"/>
  <c r="O114" i="3" s="1"/>
  <c r="J115" i="3"/>
  <c r="O115" i="3" s="1"/>
  <c r="J116" i="3"/>
  <c r="O116" i="3" s="1"/>
  <c r="J117" i="3"/>
  <c r="O117" i="3" s="1"/>
  <c r="J118" i="3"/>
  <c r="O118" i="3" s="1"/>
  <c r="J119" i="3"/>
  <c r="O119" i="3" s="1"/>
  <c r="J120" i="3"/>
  <c r="O120" i="3" s="1"/>
  <c r="J121" i="3"/>
  <c r="O121" i="3" s="1"/>
  <c r="J122" i="3"/>
  <c r="O122" i="3" s="1"/>
  <c r="J123" i="3"/>
  <c r="O123" i="3" s="1"/>
  <c r="J124" i="3"/>
  <c r="O124" i="3" s="1"/>
  <c r="J125" i="3"/>
  <c r="O125" i="3" s="1"/>
  <c r="J126" i="3"/>
  <c r="O126" i="3" s="1"/>
  <c r="J127" i="3"/>
  <c r="O127" i="3" s="1"/>
  <c r="J128" i="3"/>
  <c r="O128" i="3" s="1"/>
  <c r="J129" i="3"/>
  <c r="O129" i="3" s="1"/>
  <c r="J130" i="3"/>
  <c r="J131" i="3"/>
  <c r="O131" i="3" s="1"/>
  <c r="J132" i="3"/>
  <c r="O132" i="3" s="1"/>
  <c r="J133" i="3"/>
  <c r="O133" i="3" s="1"/>
  <c r="J134" i="3"/>
  <c r="O134" i="3" s="1"/>
  <c r="J135" i="3"/>
  <c r="O135" i="3" s="1"/>
  <c r="J136" i="3"/>
  <c r="O136" i="3" s="1"/>
  <c r="J137" i="3"/>
  <c r="O137" i="3" s="1"/>
  <c r="J138" i="3"/>
  <c r="O138" i="3" s="1"/>
  <c r="J140" i="3"/>
  <c r="O140" i="3" s="1"/>
  <c r="J143" i="3"/>
  <c r="O143" i="3" s="1"/>
  <c r="J144" i="3"/>
  <c r="O144" i="3" s="1"/>
  <c r="J145" i="3"/>
  <c r="O145" i="3" s="1"/>
  <c r="J146" i="3"/>
  <c r="O146" i="3" s="1"/>
  <c r="J147" i="3"/>
  <c r="O147" i="3" s="1"/>
  <c r="J148" i="3"/>
  <c r="O148" i="3" s="1"/>
  <c r="J149" i="3"/>
  <c r="O149" i="3" s="1"/>
  <c r="J150" i="3"/>
  <c r="O150" i="3" s="1"/>
  <c r="J151" i="3"/>
  <c r="O151" i="3" s="1"/>
  <c r="J152" i="3"/>
  <c r="O152" i="3" s="1"/>
  <c r="J153" i="3"/>
  <c r="O153" i="3" s="1"/>
  <c r="J154" i="3"/>
  <c r="O154" i="3" s="1"/>
  <c r="J155" i="3"/>
  <c r="J157" i="3"/>
  <c r="J159" i="3"/>
  <c r="O159" i="3" s="1"/>
  <c r="J168" i="3"/>
  <c r="O168" i="3" s="1"/>
  <c r="J169" i="3"/>
  <c r="O169" i="3" s="1"/>
  <c r="J170" i="3"/>
  <c r="O170" i="3" s="1"/>
  <c r="J172" i="3"/>
  <c r="O172" i="3" s="1"/>
  <c r="J173" i="3"/>
  <c r="O173" i="3" s="1"/>
  <c r="J174" i="3"/>
  <c r="O174" i="3" s="1"/>
  <c r="J175" i="3"/>
  <c r="J176" i="3"/>
  <c r="O176" i="3" s="1"/>
  <c r="J177" i="3"/>
  <c r="J178" i="3"/>
  <c r="O178" i="3" s="1"/>
  <c r="J184" i="3"/>
  <c r="J185" i="3"/>
  <c r="J186" i="3"/>
  <c r="O186" i="3" s="1"/>
  <c r="J187" i="3"/>
  <c r="O187" i="3" s="1"/>
  <c r="J188" i="3"/>
  <c r="J190" i="3"/>
  <c r="O190" i="3" s="1"/>
  <c r="J191" i="3"/>
  <c r="J194" i="3"/>
  <c r="O194" i="3" s="1"/>
  <c r="J195" i="3"/>
  <c r="J196" i="3"/>
  <c r="J198" i="3"/>
  <c r="O198" i="3" s="1"/>
  <c r="J199" i="3"/>
  <c r="O199" i="3" s="1"/>
  <c r="J203" i="3"/>
  <c r="O203" i="3" s="1"/>
  <c r="J204" i="3"/>
  <c r="O204" i="3" s="1"/>
  <c r="J205" i="3"/>
  <c r="O205" i="3" s="1"/>
  <c r="J206" i="3"/>
  <c r="O206" i="3" s="1"/>
  <c r="J207" i="3"/>
  <c r="J208" i="3"/>
  <c r="O208" i="3" s="1"/>
  <c r="J209" i="3"/>
  <c r="O209" i="3" s="1"/>
  <c r="J210" i="3"/>
  <c r="O210" i="3" s="1"/>
  <c r="H68" i="1"/>
  <c r="J68" i="1" s="1"/>
  <c r="H69" i="1"/>
  <c r="J69" i="1" s="1"/>
  <c r="H70" i="1"/>
  <c r="J70" i="1" s="1"/>
  <c r="H72" i="1"/>
  <c r="J72" i="1" s="1"/>
  <c r="H73" i="1"/>
  <c r="J73" i="1" s="1"/>
  <c r="J167" i="3"/>
  <c r="O167" i="3" s="1"/>
  <c r="J18" i="4"/>
  <c r="J25" i="2"/>
  <c r="J55" i="3"/>
  <c r="G13" i="1"/>
  <c r="G66" i="1"/>
  <c r="J36" i="2"/>
  <c r="O36" i="2" s="1"/>
  <c r="H33" i="1"/>
  <c r="J33" i="1" s="1"/>
  <c r="H216" i="3"/>
  <c r="J215" i="3"/>
  <c r="O215" i="3" s="1"/>
  <c r="F216" i="3"/>
  <c r="D216" i="3"/>
  <c r="J35" i="2"/>
  <c r="N26" i="4"/>
  <c r="L22" i="4"/>
  <c r="H22" i="4"/>
  <c r="F22" i="4"/>
  <c r="D22" i="4"/>
  <c r="J21" i="4"/>
  <c r="J20" i="4"/>
  <c r="J19" i="4"/>
  <c r="J17" i="4"/>
  <c r="J16" i="4"/>
  <c r="J15" i="4"/>
  <c r="J14" i="4"/>
  <c r="J13" i="4"/>
  <c r="J12" i="4"/>
  <c r="J11" i="4"/>
  <c r="J214" i="3"/>
  <c r="O214" i="3" s="1"/>
  <c r="J213" i="3"/>
  <c r="J212" i="3"/>
  <c r="J211" i="3"/>
  <c r="O211" i="3" s="1"/>
  <c r="J202" i="3"/>
  <c r="O202" i="3" s="1"/>
  <c r="J201" i="3"/>
  <c r="O201" i="3" s="1"/>
  <c r="J200" i="3"/>
  <c r="O200" i="3" s="1"/>
  <c r="J197" i="3"/>
  <c r="O197" i="3" s="1"/>
  <c r="J192" i="3"/>
  <c r="O192" i="3" s="1"/>
  <c r="J189" i="3"/>
  <c r="O189" i="3" s="1"/>
  <c r="J183" i="3"/>
  <c r="O183" i="3" s="1"/>
  <c r="J182" i="3"/>
  <c r="O182" i="3" s="1"/>
  <c r="J181" i="3"/>
  <c r="O181" i="3" s="1"/>
  <c r="J180" i="3"/>
  <c r="O180" i="3" s="1"/>
  <c r="J179" i="3"/>
  <c r="J166" i="3"/>
  <c r="J165" i="3"/>
  <c r="O165" i="3" s="1"/>
  <c r="J164" i="3"/>
  <c r="J163" i="3"/>
  <c r="J162" i="3"/>
  <c r="J156" i="3"/>
  <c r="J88" i="3"/>
  <c r="O88" i="3" s="1"/>
  <c r="J45" i="3"/>
  <c r="J44" i="3"/>
  <c r="J42" i="3"/>
  <c r="O42" i="3" s="1"/>
  <c r="J41" i="3"/>
  <c r="O41" i="3" s="1"/>
  <c r="J26" i="3"/>
  <c r="O26" i="3" s="1"/>
  <c r="J24" i="3"/>
  <c r="O24" i="3" s="1"/>
  <c r="J12" i="3"/>
  <c r="J10" i="3"/>
  <c r="L43" i="2"/>
  <c r="H43" i="2"/>
  <c r="F43" i="2"/>
  <c r="D43" i="2"/>
  <c r="J42" i="2"/>
  <c r="O42" i="2" s="1"/>
  <c r="J41" i="2"/>
  <c r="O41" i="2" s="1"/>
  <c r="J40" i="2"/>
  <c r="J39" i="2"/>
  <c r="O39" i="2" s="1"/>
  <c r="J38" i="2"/>
  <c r="O38" i="2" s="1"/>
  <c r="J37" i="2"/>
  <c r="O37" i="2" s="1"/>
  <c r="J34" i="2"/>
  <c r="O34" i="2" s="1"/>
  <c r="J33" i="2"/>
  <c r="J32" i="2"/>
  <c r="J31" i="2"/>
  <c r="O31" i="2" s="1"/>
  <c r="J30" i="2"/>
  <c r="O30" i="2" s="1"/>
  <c r="J29" i="2"/>
  <c r="J28" i="2"/>
  <c r="J27" i="2"/>
  <c r="O27" i="2" s="1"/>
  <c r="J26" i="2"/>
  <c r="J24" i="2"/>
  <c r="O24" i="2" s="1"/>
  <c r="J23" i="2"/>
  <c r="O23" i="2" s="1"/>
  <c r="J22" i="2"/>
  <c r="O22" i="2" s="1"/>
  <c r="J21" i="2"/>
  <c r="O21" i="2" s="1"/>
  <c r="J20" i="2"/>
  <c r="O20" i="2" s="1"/>
  <c r="J19" i="2"/>
  <c r="J18" i="2"/>
  <c r="O18" i="2" s="1"/>
  <c r="J17" i="2"/>
  <c r="O17" i="2" s="1"/>
  <c r="J15" i="2"/>
  <c r="O15" i="2" s="1"/>
  <c r="J14" i="2"/>
  <c r="O14" i="2" s="1"/>
  <c r="J13" i="2"/>
  <c r="O13" i="2" s="1"/>
  <c r="J12" i="2"/>
  <c r="J11" i="2"/>
  <c r="J10" i="2"/>
  <c r="N22" i="4"/>
  <c r="E75" i="1" s="1"/>
  <c r="E88" i="1" s="1"/>
  <c r="G88" i="1" s="1"/>
  <c r="H89" i="1"/>
  <c r="H75" i="1"/>
  <c r="H74" i="1"/>
  <c r="J74" i="1" s="1"/>
  <c r="H71" i="1"/>
  <c r="J71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2" i="1"/>
  <c r="J12" i="1" s="1"/>
  <c r="H11" i="1"/>
  <c r="J11" i="1" s="1"/>
  <c r="H10" i="1"/>
  <c r="J10" i="1" s="1"/>
  <c r="F66" i="1"/>
  <c r="F86" i="1"/>
  <c r="O207" i="3" l="1"/>
  <c r="G77" i="1"/>
  <c r="N27" i="4"/>
  <c r="O19" i="2"/>
  <c r="O79" i="3"/>
  <c r="O69" i="3"/>
  <c r="O18" i="3"/>
  <c r="O29" i="2"/>
  <c r="O82" i="3"/>
  <c r="O78" i="3"/>
  <c r="O15" i="3"/>
  <c r="O12" i="3"/>
  <c r="O81" i="3"/>
  <c r="O77" i="3"/>
  <c r="O71" i="3"/>
  <c r="O63" i="3"/>
  <c r="O20" i="3"/>
  <c r="O196" i="3"/>
  <c r="O130" i="3"/>
  <c r="O80" i="3"/>
  <c r="O70" i="3"/>
  <c r="O19" i="3"/>
  <c r="J75" i="1"/>
  <c r="F87" i="1"/>
  <c r="O12" i="2"/>
  <c r="O13" i="3"/>
  <c r="O35" i="2"/>
  <c r="J216" i="3"/>
  <c r="J22" i="4"/>
  <c r="J43" i="2"/>
  <c r="H66" i="1"/>
  <c r="J66" i="1" s="1"/>
  <c r="H13" i="1"/>
  <c r="J13" i="1" s="1"/>
  <c r="N43" i="2" l="1"/>
  <c r="O14" i="3"/>
  <c r="H77" i="1"/>
  <c r="F89" i="1"/>
  <c r="J77" i="1" l="1"/>
  <c r="O43" i="2"/>
  <c r="E13" i="1"/>
  <c r="E86" i="1" s="1"/>
  <c r="G86" i="1" s="1"/>
  <c r="F77" i="1"/>
  <c r="O10" i="3" l="1"/>
  <c r="O22" i="3"/>
  <c r="F155" i="1"/>
  <c r="F159" i="1" s="1"/>
  <c r="E159" i="1"/>
  <c r="O216" i="3" l="1"/>
  <c r="E66" i="1"/>
  <c r="E87" i="1" s="1"/>
  <c r="G155" i="1"/>
  <c r="E89" i="1" l="1"/>
  <c r="E77" i="1" s="1"/>
  <c r="F79" i="1" s="1"/>
  <c r="G87" i="1"/>
  <c r="G89" i="1" s="1"/>
  <c r="J155" i="1"/>
  <c r="J159" i="1" s="1"/>
  <c r="G159" i="1"/>
</calcChain>
</file>

<file path=xl/sharedStrings.xml><?xml version="1.0" encoding="utf-8"?>
<sst xmlns="http://schemas.openxmlformats.org/spreadsheetml/2006/main" count="1171" uniqueCount="773">
  <si>
    <t>Waller County, Texas</t>
  </si>
  <si>
    <t>Fund</t>
  </si>
  <si>
    <t>Dept</t>
  </si>
  <si>
    <t>Estimated</t>
  </si>
  <si>
    <t xml:space="preserve">Estimated </t>
  </si>
  <si>
    <t>Current</t>
  </si>
  <si>
    <t xml:space="preserve">Budget </t>
  </si>
  <si>
    <t>Number</t>
  </si>
  <si>
    <t>Name</t>
  </si>
  <si>
    <t>Revenue</t>
  </si>
  <si>
    <t>Expenditures</t>
  </si>
  <si>
    <t>Budget</t>
  </si>
  <si>
    <t>Increase</t>
  </si>
  <si>
    <t>Increase %</t>
  </si>
  <si>
    <t>Road &amp; Bridge:</t>
  </si>
  <si>
    <t>Road &amp; Bridge Admin</t>
  </si>
  <si>
    <t>$</t>
  </si>
  <si>
    <t>Road &amp; Bridge Maint/Construct</t>
  </si>
  <si>
    <t>Road &amp; Bridge Employee Benefits</t>
  </si>
  <si>
    <t>Totals Road &amp; Bridge</t>
  </si>
  <si>
    <t>General Fund:</t>
  </si>
  <si>
    <t>Commissioner's</t>
  </si>
  <si>
    <t>Co Clerk</t>
  </si>
  <si>
    <t>Veterans</t>
  </si>
  <si>
    <t>District Judge 506th</t>
  </si>
  <si>
    <t>All Other</t>
  </si>
  <si>
    <t>County Court At Law</t>
  </si>
  <si>
    <t>District Court</t>
  </si>
  <si>
    <t>County Court</t>
  </si>
  <si>
    <t>Justice Court</t>
  </si>
  <si>
    <t>Criminal D.A.</t>
  </si>
  <si>
    <t>District Clerk</t>
  </si>
  <si>
    <t xml:space="preserve"> J.P. 1</t>
  </si>
  <si>
    <t>J.P. 2</t>
  </si>
  <si>
    <t>J.P. 3</t>
  </si>
  <si>
    <t>J.P. 4</t>
  </si>
  <si>
    <t>Court Expense</t>
  </si>
  <si>
    <t>Judicial Expense</t>
  </si>
  <si>
    <t>County Auditor</t>
  </si>
  <si>
    <t>County Treasurer</t>
  </si>
  <si>
    <t>Central Appraisal District</t>
  </si>
  <si>
    <t>Tax Assessor/Collector</t>
  </si>
  <si>
    <t>County Judge</t>
  </si>
  <si>
    <t>IT</t>
  </si>
  <si>
    <t>Maintenance Bldgs.</t>
  </si>
  <si>
    <t>Sheriff Jail</t>
  </si>
  <si>
    <t>Juvenile Probation</t>
  </si>
  <si>
    <t>Juvenile Detention</t>
  </si>
  <si>
    <t>Fire/Bldg Code Inspector</t>
  </si>
  <si>
    <t>Courthouse Security</t>
  </si>
  <si>
    <t>Constable Precinct 1</t>
  </si>
  <si>
    <t>Constable Precinct 2</t>
  </si>
  <si>
    <t>Constable Precinct 3</t>
  </si>
  <si>
    <t>Constable Precinct 4</t>
  </si>
  <si>
    <t>Animal Control</t>
  </si>
  <si>
    <t>Sheriff Admin</t>
  </si>
  <si>
    <t>Sheriff Communication</t>
  </si>
  <si>
    <t>Law Enforce Vehicle Maint</t>
  </si>
  <si>
    <t>Community Super/Correctns</t>
  </si>
  <si>
    <t>Juvenile Board</t>
  </si>
  <si>
    <t>DPS</t>
  </si>
  <si>
    <t>Indigent Health</t>
  </si>
  <si>
    <t>County Library</t>
  </si>
  <si>
    <t>Historical Commission</t>
  </si>
  <si>
    <t>County Museum</t>
  </si>
  <si>
    <t>Extension Service</t>
  </si>
  <si>
    <t>Capital Outlay</t>
  </si>
  <si>
    <t>Employee Benefits</t>
  </si>
  <si>
    <t>Totals General Fund</t>
  </si>
  <si>
    <t>D.A. Pre Trial Diversion Fee</t>
  </si>
  <si>
    <t>Debt Service</t>
  </si>
  <si>
    <t>Grand Totals</t>
  </si>
  <si>
    <t>Surplus</t>
  </si>
  <si>
    <t>Available</t>
  </si>
  <si>
    <t>(Deficit)</t>
  </si>
  <si>
    <t>Fund Bal</t>
  </si>
  <si>
    <t>Road and Bridge</t>
  </si>
  <si>
    <t>General Fund</t>
  </si>
  <si>
    <t>GWA</t>
  </si>
  <si>
    <t>FM</t>
  </si>
  <si>
    <t>Collection rate</t>
  </si>
  <si>
    <t>Estimated collections</t>
  </si>
  <si>
    <t>Allocation of revenue:</t>
  </si>
  <si>
    <t>Road &amp; Bridge</t>
  </si>
  <si>
    <t>Debt</t>
  </si>
  <si>
    <t>Three</t>
  </si>
  <si>
    <t>Actual</t>
  </si>
  <si>
    <t>Year</t>
  </si>
  <si>
    <t>Approved</t>
  </si>
  <si>
    <t>Average</t>
  </si>
  <si>
    <t>110-000-411000</t>
  </si>
  <si>
    <t>Ad Valorem Taxes Current</t>
  </si>
  <si>
    <t>110-000-411010</t>
  </si>
  <si>
    <t>Ad Valorem Taxes Current/FM</t>
  </si>
  <si>
    <t>110-000-412100</t>
  </si>
  <si>
    <t>Redemptions</t>
  </si>
  <si>
    <t>110-000-412120</t>
  </si>
  <si>
    <t>Redemptions FM</t>
  </si>
  <si>
    <t>110-000-412501</t>
  </si>
  <si>
    <t>P&amp;I -Redemptions</t>
  </si>
  <si>
    <t>110-000-421000</t>
  </si>
  <si>
    <t>Lateral Roads</t>
  </si>
  <si>
    <t>110-000-431010</t>
  </si>
  <si>
    <t>Culvert Permits</t>
  </si>
  <si>
    <t>110-000-431011</t>
  </si>
  <si>
    <t>Driveway Permits and Fees</t>
  </si>
  <si>
    <t>110-000-433000</t>
  </si>
  <si>
    <t>Optional Motor Vehicle</t>
  </si>
  <si>
    <t>110-000-433002</t>
  </si>
  <si>
    <t>Weight &amp; Axel Weight Fees</t>
  </si>
  <si>
    <t>110-000-433900</t>
  </si>
  <si>
    <t>Motor Vehicle Registrations</t>
  </si>
  <si>
    <t>110-000-451300</t>
  </si>
  <si>
    <t>Dist CL/R&amp;B</t>
  </si>
  <si>
    <t>110-000-451305</t>
  </si>
  <si>
    <t>County Clerk R&amp;B</t>
  </si>
  <si>
    <t>TXP Interest R&amp;B</t>
  </si>
  <si>
    <t>MBIA Interest</t>
  </si>
  <si>
    <t>110-000-467512</t>
  </si>
  <si>
    <t>Prosperity Bank Int CD's</t>
  </si>
  <si>
    <t>FNB Bellville CD</t>
  </si>
  <si>
    <t>110-000-471500</t>
  </si>
  <si>
    <t>110-000-471900</t>
  </si>
  <si>
    <t>Interlocal Agreement/R&amp;B</t>
  </si>
  <si>
    <t>110-000-472000</t>
  </si>
  <si>
    <t>Other refunds &amp; damages</t>
  </si>
  <si>
    <t>110-000-472102</t>
  </si>
  <si>
    <t>Misc sales</t>
  </si>
  <si>
    <t>110-000-472302</t>
  </si>
  <si>
    <t>Timber Ridge reimbursement</t>
  </si>
  <si>
    <t>110-000-472315</t>
  </si>
  <si>
    <t>Fuel Tax refund</t>
  </si>
  <si>
    <t>110-000-472900</t>
  </si>
  <si>
    <t>Reimb Repair Beckendorff Road</t>
  </si>
  <si>
    <t>110-000-472910</t>
  </si>
  <si>
    <t>WCF, LLC/Cardiff Road</t>
  </si>
  <si>
    <t>110-000-475002</t>
  </si>
  <si>
    <t>Transfers from R&amp;B fund balance</t>
  </si>
  <si>
    <t>110-000-475004</t>
  </si>
  <si>
    <t>Transfers from other funds</t>
  </si>
  <si>
    <t>110-000-475006</t>
  </si>
  <si>
    <t>Transfers in RFB/Beckendorff Rd</t>
  </si>
  <si>
    <t>110-000-475007</t>
  </si>
  <si>
    <t>Transfers in RFB/Cardiff Rd</t>
  </si>
  <si>
    <t>125-000-411000</t>
  </si>
  <si>
    <t>Ad Valorem Taxes - Current</t>
  </si>
  <si>
    <t>125-000-412100</t>
  </si>
  <si>
    <t>125-000-412104</t>
  </si>
  <si>
    <t>VIT Beverage</t>
  </si>
  <si>
    <t>125-000-412500</t>
  </si>
  <si>
    <t>Mix Bev Tax</t>
  </si>
  <si>
    <t>125-000-412501</t>
  </si>
  <si>
    <t>P&amp;I on Redemptions</t>
  </si>
  <si>
    <t>125-000-422007</t>
  </si>
  <si>
    <t>MV Cert of Title</t>
  </si>
  <si>
    <t>125-000-422008</t>
  </si>
  <si>
    <t>MV Reg Report</t>
  </si>
  <si>
    <t>125-000-422009</t>
  </si>
  <si>
    <t>Tax Assessor/Tax Tape</t>
  </si>
  <si>
    <t>125-000-422010</t>
  </si>
  <si>
    <t>State Beer Comm</t>
  </si>
  <si>
    <t>125-000-422011</t>
  </si>
  <si>
    <t>Drug Crt Prog Fee</t>
  </si>
  <si>
    <t>125-000-422012</t>
  </si>
  <si>
    <t>County Comm</t>
  </si>
  <si>
    <t>125-000-422013</t>
  </si>
  <si>
    <t>Juv Prob Div</t>
  </si>
  <si>
    <t>125-000-422014</t>
  </si>
  <si>
    <t>State/Time Pmt</t>
  </si>
  <si>
    <t>125-000-422015</t>
  </si>
  <si>
    <t>State Fee CJPF</t>
  </si>
  <si>
    <t>125-000-422016</t>
  </si>
  <si>
    <t>State Fee CVCF</t>
  </si>
  <si>
    <t>State Fee LEOSF</t>
  </si>
  <si>
    <t>State Fee JCPT</t>
  </si>
  <si>
    <t>125-000-422020</t>
  </si>
  <si>
    <t>AJSF Fee/D CL</t>
  </si>
  <si>
    <t>125-000-422021</t>
  </si>
  <si>
    <t>State Fee DPS</t>
  </si>
  <si>
    <t>125-000-422022</t>
  </si>
  <si>
    <t>State Fee F A</t>
  </si>
  <si>
    <t>125-000-422023</t>
  </si>
  <si>
    <t>State/CCC/Con CT</t>
  </si>
  <si>
    <t>125-000-422024</t>
  </si>
  <si>
    <t>State Fee JCD</t>
  </si>
  <si>
    <t>125-000-422025</t>
  </si>
  <si>
    <t>Time Payment/ADM Jus</t>
  </si>
  <si>
    <t>125-000-422026</t>
  </si>
  <si>
    <t>State Fee/DNA Testing</t>
  </si>
  <si>
    <t>125-000-422027</t>
  </si>
  <si>
    <t>State Fee/ CMI</t>
  </si>
  <si>
    <t>125-000-422028</t>
  </si>
  <si>
    <t>State Traffic Fee</t>
  </si>
  <si>
    <t>125-000-422029</t>
  </si>
  <si>
    <t>Restitution Unclaimed CVC</t>
  </si>
  <si>
    <t>125-000-422030</t>
  </si>
  <si>
    <t>Child Safety Fee</t>
  </si>
  <si>
    <t>125-000-422031</t>
  </si>
  <si>
    <t>State Fee CRF</t>
  </si>
  <si>
    <t>125-000-422032</t>
  </si>
  <si>
    <t>State Fee GR</t>
  </si>
  <si>
    <t>State/Bir Cer/CC</t>
  </si>
  <si>
    <t>125-000-422035</t>
  </si>
  <si>
    <t>Sheriff/Ref/LEOSE</t>
  </si>
  <si>
    <t>125-000-422036</t>
  </si>
  <si>
    <t>Constable/Refund/LEOSE</t>
  </si>
  <si>
    <t>125-000-422037</t>
  </si>
  <si>
    <t>Civil/File/IND</t>
  </si>
  <si>
    <t>125-000-422038</t>
  </si>
  <si>
    <t>Bail Bond Fee/Refund</t>
  </si>
  <si>
    <t>125-000-422039</t>
  </si>
  <si>
    <t>State Fee/DNA Sample</t>
  </si>
  <si>
    <t>125-000-422040</t>
  </si>
  <si>
    <t>EMS Trauma Fee</t>
  </si>
  <si>
    <t>125-000-422041</t>
  </si>
  <si>
    <t>AJSF Fee/C CL</t>
  </si>
  <si>
    <t>125-000-422044</t>
  </si>
  <si>
    <t>State/Inf Marr/CC</t>
  </si>
  <si>
    <t>125-000-422046</t>
  </si>
  <si>
    <t>State/Div Flaw/DC</t>
  </si>
  <si>
    <t>125-000-422047</t>
  </si>
  <si>
    <t>State/Non div flaw/DC</t>
  </si>
  <si>
    <t>125-000-422052</t>
  </si>
  <si>
    <t>CJF MVF/State Fee</t>
  </si>
  <si>
    <t>125-000-423016</t>
  </si>
  <si>
    <t>CVC Aux Fund Restitution</t>
  </si>
  <si>
    <t>125-000-424001</t>
  </si>
  <si>
    <t>B/K Comm</t>
  </si>
  <si>
    <t>125-000-424002</t>
  </si>
  <si>
    <t>B/K Assess Fee</t>
  </si>
  <si>
    <t>125-000-424003</t>
  </si>
  <si>
    <t>HISD Assess Fee</t>
  </si>
  <si>
    <t>125-000-424004</t>
  </si>
  <si>
    <t>City of Hemp A/F</t>
  </si>
  <si>
    <t>125-000-424006</t>
  </si>
  <si>
    <t>ESD Assess Fee</t>
  </si>
  <si>
    <t>125-000-424500</t>
  </si>
  <si>
    <t>Royal ISD A/F</t>
  </si>
  <si>
    <t>125-000-427535</t>
  </si>
  <si>
    <t>Juv Probation Fees</t>
  </si>
  <si>
    <t>125-000-430500</t>
  </si>
  <si>
    <t>Beer and Liquor</t>
  </si>
  <si>
    <t>125-000-431002</t>
  </si>
  <si>
    <t>125-000-431501</t>
  </si>
  <si>
    <t>Public Tele Comm</t>
  </si>
  <si>
    <t>125-000-440502</t>
  </si>
  <si>
    <t>Co Beer Renewals</t>
  </si>
  <si>
    <t>125-000-440503</t>
  </si>
  <si>
    <t>Printout</t>
  </si>
  <si>
    <t>125-000-440504</t>
  </si>
  <si>
    <t>Tax Certificates</t>
  </si>
  <si>
    <t>125-000-441502</t>
  </si>
  <si>
    <t>Recording/Co CL</t>
  </si>
  <si>
    <t>125-000-441503</t>
  </si>
  <si>
    <t>Mortgage/CO CL</t>
  </si>
  <si>
    <t>125-000-441508</t>
  </si>
  <si>
    <t>Probate/CO CL</t>
  </si>
  <si>
    <t>125-000-441509</t>
  </si>
  <si>
    <t>Marriage License</t>
  </si>
  <si>
    <t>125-000-442000</t>
  </si>
  <si>
    <t>Sheriff</t>
  </si>
  <si>
    <t>125-000-444000</t>
  </si>
  <si>
    <t>St Comp/ Jud Fees</t>
  </si>
  <si>
    <t>125-000-444005</t>
  </si>
  <si>
    <t>St/Jud Sup Fee/Crim</t>
  </si>
  <si>
    <t>125-000-444007</t>
  </si>
  <si>
    <t>Jury Reimb Fee</t>
  </si>
  <si>
    <t>125-000-444008</t>
  </si>
  <si>
    <t>Probate/CO CCL</t>
  </si>
  <si>
    <t>125-000-444009</t>
  </si>
  <si>
    <t>Jury Service Fee</t>
  </si>
  <si>
    <t>125-000-448000</t>
  </si>
  <si>
    <t>Photo Copy/Co CL</t>
  </si>
  <si>
    <t>125-000-448002</t>
  </si>
  <si>
    <t>Photo Copy/DC CL</t>
  </si>
  <si>
    <t>125-000-450300</t>
  </si>
  <si>
    <t>FTA Juror Summoned</t>
  </si>
  <si>
    <t>Bond Forf/CC Dc</t>
  </si>
  <si>
    <t>125-000-451000</t>
  </si>
  <si>
    <t>Lib Fine &amp; Copy</t>
  </si>
  <si>
    <t>125-000-451503</t>
  </si>
  <si>
    <t>Idocket Fee/DC</t>
  </si>
  <si>
    <t>125-000-451504</t>
  </si>
  <si>
    <t>Misc &amp; Other/CO CL</t>
  </si>
  <si>
    <t>125-000-451505</t>
  </si>
  <si>
    <t>District CL/Criminal</t>
  </si>
  <si>
    <t>125-000-451506</t>
  </si>
  <si>
    <t>Civil/CO Clerk</t>
  </si>
  <si>
    <t>125-000-451507</t>
  </si>
  <si>
    <t>Crim/CO CL</t>
  </si>
  <si>
    <t>125-000-451508</t>
  </si>
  <si>
    <t>CT RPT/CO CL</t>
  </si>
  <si>
    <t>125-000-451509</t>
  </si>
  <si>
    <t>CRT RPT/Dis CL</t>
  </si>
  <si>
    <t>125-000-451510</t>
  </si>
  <si>
    <t>Dist CL/Civil</t>
  </si>
  <si>
    <t>125-000-451511</t>
  </si>
  <si>
    <t>Passport Fee DC</t>
  </si>
  <si>
    <t>125-000-451512</t>
  </si>
  <si>
    <t>DC/Conven Fee/E Filing</t>
  </si>
  <si>
    <t>125-000-451515</t>
  </si>
  <si>
    <t>EDUC/CO CL</t>
  </si>
  <si>
    <t>125-000-451901</t>
  </si>
  <si>
    <t>Sheriff/Videos</t>
  </si>
  <si>
    <t>125-000-452001</t>
  </si>
  <si>
    <t>Jury Fees/DC</t>
  </si>
  <si>
    <t>125-000-452002</t>
  </si>
  <si>
    <t>Jury Fees/CC</t>
  </si>
  <si>
    <t>125-000-452004</t>
  </si>
  <si>
    <t>Dist CL/SO</t>
  </si>
  <si>
    <t>125-000-452005</t>
  </si>
  <si>
    <t>Arrest Fee/SO</t>
  </si>
  <si>
    <t>125-000-452006</t>
  </si>
  <si>
    <t>Civil Co CL/SO</t>
  </si>
  <si>
    <t>125-000-452007</t>
  </si>
  <si>
    <t>Crim Co CL/SO</t>
  </si>
  <si>
    <t>125-000-452008</t>
  </si>
  <si>
    <t>Probate Co CL/SO</t>
  </si>
  <si>
    <t>125-000-452506</t>
  </si>
  <si>
    <t>Crim D Attorney/C CL</t>
  </si>
  <si>
    <t>125-000-453010</t>
  </si>
  <si>
    <t>Fines/Crim JP#1</t>
  </si>
  <si>
    <t>125-000-453011</t>
  </si>
  <si>
    <t>Fines/Civil JP#1</t>
  </si>
  <si>
    <t>125-000-453012</t>
  </si>
  <si>
    <t>Misc Fee JP#1</t>
  </si>
  <si>
    <t>125-000-453013</t>
  </si>
  <si>
    <t>Admin Fee JP#1</t>
  </si>
  <si>
    <t>125-000-453020</t>
  </si>
  <si>
    <t>Fines/Crim JP#2</t>
  </si>
  <si>
    <t>125-000-453021</t>
  </si>
  <si>
    <t>Fines/Civil JP#2</t>
  </si>
  <si>
    <t>125-000-453022</t>
  </si>
  <si>
    <t>Misc Fee JP#2</t>
  </si>
  <si>
    <t>125-000-453023</t>
  </si>
  <si>
    <t>Admin Fee JP#2</t>
  </si>
  <si>
    <t>125-000-453030</t>
  </si>
  <si>
    <t>Fines/Crim JP#3</t>
  </si>
  <si>
    <t>125-000-453031</t>
  </si>
  <si>
    <t>Fines/Civil JP#3</t>
  </si>
  <si>
    <t>125-000-453032</t>
  </si>
  <si>
    <t>Misc Fee JP#3</t>
  </si>
  <si>
    <t>125-000-453033</t>
  </si>
  <si>
    <t>Admin Fee JP#3</t>
  </si>
  <si>
    <t>125-000-453040</t>
  </si>
  <si>
    <t>Fines/Crim JP#4</t>
  </si>
  <si>
    <t>125-000-453041</t>
  </si>
  <si>
    <t>Fines/Civil JP#4</t>
  </si>
  <si>
    <t>125-000-453042</t>
  </si>
  <si>
    <t>Misc Fee JP#4</t>
  </si>
  <si>
    <t>125-000-453043</t>
  </si>
  <si>
    <t>Admin Fee JP#4</t>
  </si>
  <si>
    <t>125-000-453050</t>
  </si>
  <si>
    <t>Omni Collection Fee</t>
  </si>
  <si>
    <t>125-000-453501</t>
  </si>
  <si>
    <t>Constable #1</t>
  </si>
  <si>
    <t>125-000-453502</t>
  </si>
  <si>
    <t>Constable #2</t>
  </si>
  <si>
    <t>125-000-453503</t>
  </si>
  <si>
    <t>Constable #3</t>
  </si>
  <si>
    <t>125-000-453504</t>
  </si>
  <si>
    <t>Constable #4</t>
  </si>
  <si>
    <t>125-000-467400</t>
  </si>
  <si>
    <t>TXP Int/DC</t>
  </si>
  <si>
    <t>125-000-467401</t>
  </si>
  <si>
    <t>Int Incom/CO CL</t>
  </si>
  <si>
    <t>125-000-467402</t>
  </si>
  <si>
    <t>Int/Dist CL/Fee Account</t>
  </si>
  <si>
    <t>125-000-467403</t>
  </si>
  <si>
    <t>Int Incom/Sheriff</t>
  </si>
  <si>
    <t>125-000-467404</t>
  </si>
  <si>
    <t>Int/Tax Assessor</t>
  </si>
  <si>
    <t>125-000-467405</t>
  </si>
  <si>
    <t>Interest/Waller Co.</t>
  </si>
  <si>
    <t>125-000-467406</t>
  </si>
  <si>
    <t>CC/Int Fr Trust Acct</t>
  </si>
  <si>
    <t>125-000-467407</t>
  </si>
  <si>
    <t>Interest Due Fr DA</t>
  </si>
  <si>
    <t>125-000-467408</t>
  </si>
  <si>
    <t>DC Int/Registry/Trust Acct</t>
  </si>
  <si>
    <t>125-000-467409</t>
  </si>
  <si>
    <t>DC Int/Handling Fee FR CD's</t>
  </si>
  <si>
    <t>125-000-467411</t>
  </si>
  <si>
    <t>Int/Merchant Fee/E File</t>
  </si>
  <si>
    <t>125-000-467500</t>
  </si>
  <si>
    <t>Txp Int/General</t>
  </si>
  <si>
    <t>MBIA Int</t>
  </si>
  <si>
    <t>125-000-467512</t>
  </si>
  <si>
    <t>Prosperity Bank Int/CD's</t>
  </si>
  <si>
    <t>FNB Bellville/CD</t>
  </si>
  <si>
    <t>125-000-470000</t>
  </si>
  <si>
    <t>Hemp/Book &amp; Mem/Prog</t>
  </si>
  <si>
    <t>125-000-470100</t>
  </si>
  <si>
    <t>Donations/Library</t>
  </si>
  <si>
    <t>125-000-470200</t>
  </si>
  <si>
    <t>Donations/Animal Control</t>
  </si>
  <si>
    <t>125-000-470300</t>
  </si>
  <si>
    <t>Donations/Sheriff</t>
  </si>
  <si>
    <t>125-000-470400</t>
  </si>
  <si>
    <t>Donations/Constable #4</t>
  </si>
  <si>
    <t>125-000-470500</t>
  </si>
  <si>
    <t>Brookshire/Book &amp; Mem</t>
  </si>
  <si>
    <t>125-000-471500</t>
  </si>
  <si>
    <t>125-000-471505</t>
  </si>
  <si>
    <t>Fax Fee</t>
  </si>
  <si>
    <t>125-000-471600</t>
  </si>
  <si>
    <t>NSF Check Chgs</t>
  </si>
  <si>
    <t>125-000-471700</t>
  </si>
  <si>
    <t>Reimb/Election</t>
  </si>
  <si>
    <t>125-000-471800</t>
  </si>
  <si>
    <t>Rent/Health &amp; Human Srv</t>
  </si>
  <si>
    <t>125-000-472100</t>
  </si>
  <si>
    <t>Sale/VIR Reg List</t>
  </si>
  <si>
    <t>125-000-472105</t>
  </si>
  <si>
    <t>Recycle Sales</t>
  </si>
  <si>
    <t>125-000-472200</t>
  </si>
  <si>
    <t>Indigent Refunds</t>
  </si>
  <si>
    <t>125-000-472201</t>
  </si>
  <si>
    <t>Indigent Def Fund</t>
  </si>
  <si>
    <t>125-000-472210</t>
  </si>
  <si>
    <t>Donation/Constable Pct#2</t>
  </si>
  <si>
    <t>125-000-472213</t>
  </si>
  <si>
    <t>Constable #1 Forf</t>
  </si>
  <si>
    <t>125-000-472214</t>
  </si>
  <si>
    <t>Constable #2 Forf</t>
  </si>
  <si>
    <t>125-000-472215</t>
  </si>
  <si>
    <t>Constable #3 Forf</t>
  </si>
  <si>
    <t>125-000-472216</t>
  </si>
  <si>
    <t>Constable #4 Forf</t>
  </si>
  <si>
    <t>125-000-472300</t>
  </si>
  <si>
    <t>Misc Refunds &amp; Damages</t>
  </si>
  <si>
    <t>125-000-472301</t>
  </si>
  <si>
    <t>TAC Refund</t>
  </si>
  <si>
    <t>125-000-472302</t>
  </si>
  <si>
    <t>Impound/Animal Control</t>
  </si>
  <si>
    <t>125-000-472305</t>
  </si>
  <si>
    <t>Inmate Medical Expense</t>
  </si>
  <si>
    <t>125-000-472306</t>
  </si>
  <si>
    <t>Fee/Inmate Soc. Sec.</t>
  </si>
  <si>
    <t>125-000-472307</t>
  </si>
  <si>
    <t>Healthy County Rewards</t>
  </si>
  <si>
    <t>125-000-472310</t>
  </si>
  <si>
    <t xml:space="preserve">Restitution </t>
  </si>
  <si>
    <t>125-000-472315</t>
  </si>
  <si>
    <t>Refund Unclaimed Prop</t>
  </si>
  <si>
    <t>125-000-472400</t>
  </si>
  <si>
    <t>DA Salary Supplement</t>
  </si>
  <si>
    <t>125-000-472410</t>
  </si>
  <si>
    <t>125-000-472411</t>
  </si>
  <si>
    <t>DA/Welfare Fraud/State Comp</t>
  </si>
  <si>
    <t>Reimb Longevity/DA</t>
  </si>
  <si>
    <t>125-000-472536</t>
  </si>
  <si>
    <t>HGAC Agreement/911</t>
  </si>
  <si>
    <t>125-000-472537</t>
  </si>
  <si>
    <t>Reimb/HGAC/Laptop</t>
  </si>
  <si>
    <t>125-000-472538</t>
  </si>
  <si>
    <t>IV D Transport Mileage Reim</t>
  </si>
  <si>
    <t>125-000-472540</t>
  </si>
  <si>
    <t>HGAC 911 Project Sheriff</t>
  </si>
  <si>
    <t>125-000-472541</t>
  </si>
  <si>
    <t>Local Law Enhancement</t>
  </si>
  <si>
    <t>125-000-472542</t>
  </si>
  <si>
    <t>HGAC 911 Program Sheriff</t>
  </si>
  <si>
    <t>125-000-472600</t>
  </si>
  <si>
    <t>Reimb/Court Appt atty</t>
  </si>
  <si>
    <t>125-000-472610</t>
  </si>
  <si>
    <t>CCAL/CRT Appt Atty</t>
  </si>
  <si>
    <t>125-000-472615</t>
  </si>
  <si>
    <t>Dist Crt/Reimb Crt Appt Atty</t>
  </si>
  <si>
    <t>125-000-472620</t>
  </si>
  <si>
    <t>Scram/Reimb/506th Dist Crt</t>
  </si>
  <si>
    <t>125-000-472700</t>
  </si>
  <si>
    <t>Reimb fr Grimes Cty/506th</t>
  </si>
  <si>
    <t>125-000-473500</t>
  </si>
  <si>
    <t>School/City/Other Elec Reim</t>
  </si>
  <si>
    <t>Transfers from Fund 108</t>
  </si>
  <si>
    <t>125-000-475005</t>
  </si>
  <si>
    <t>Transfers from fund balance</t>
  </si>
  <si>
    <t>125-000-475500</t>
  </si>
  <si>
    <t>Transfers in from other funds</t>
  </si>
  <si>
    <t>125-000-476500</t>
  </si>
  <si>
    <t>Transfers in from Election fund</t>
  </si>
  <si>
    <t>515-000-411015</t>
  </si>
  <si>
    <t>Ad Valorem Taxes/Cert Obl</t>
  </si>
  <si>
    <t>515-000-412100</t>
  </si>
  <si>
    <t>515-000-412105</t>
  </si>
  <si>
    <t>Ad Valorem Taxes/P&amp;I Cert Obl</t>
  </si>
  <si>
    <t>515-000-412501</t>
  </si>
  <si>
    <t>515-000-467505</t>
  </si>
  <si>
    <t>Texpool Int/Cert Obl</t>
  </si>
  <si>
    <t>MBIA Interest/Debt</t>
  </si>
  <si>
    <t>515-000-467512</t>
  </si>
  <si>
    <t>Int/Cd's/Debt Srv</t>
  </si>
  <si>
    <t>515-000-475000</t>
  </si>
  <si>
    <t>Transfer from fund balance</t>
  </si>
  <si>
    <t>515-000-477007</t>
  </si>
  <si>
    <t>Transfer from Capital Projects</t>
  </si>
  <si>
    <t>515-000-477008</t>
  </si>
  <si>
    <t>Transfer from General Fund</t>
  </si>
  <si>
    <t>Interest</t>
  </si>
  <si>
    <t>Difference</t>
  </si>
  <si>
    <t>Proposed Rate</t>
  </si>
  <si>
    <t>110-000-472512</t>
  </si>
  <si>
    <t>Other Resources/Lease Proceeds</t>
  </si>
  <si>
    <t>125-000-476501</t>
  </si>
  <si>
    <t>Waller-Harris ESD #200</t>
  </si>
  <si>
    <t>Net Taxable (after freeze)</t>
  </si>
  <si>
    <t>Levy</t>
  </si>
  <si>
    <t>Estimated levy after freeze</t>
  </si>
  <si>
    <t>Elections Administration</t>
  </si>
  <si>
    <t>Freeze</t>
  </si>
  <si>
    <t>125-000-471801</t>
  </si>
  <si>
    <t>Election/Admin Fee</t>
  </si>
  <si>
    <t>125-000-473000</t>
  </si>
  <si>
    <t>125-000-473501</t>
  </si>
  <si>
    <t>Politcal Party Revenue</t>
  </si>
  <si>
    <t>School/City/Other Entity</t>
  </si>
  <si>
    <t>Dist Clerk/Tech Fund</t>
  </si>
  <si>
    <t>Co Clerk/Records Pres/Digital</t>
  </si>
  <si>
    <t>Dist Clerk/Records Pres/Digital</t>
  </si>
  <si>
    <t>SP Rev SCAAP</t>
  </si>
  <si>
    <t>Juvenile Case Manager</t>
  </si>
  <si>
    <t xml:space="preserve">Debt Service Fund Revenue </t>
  </si>
  <si>
    <t xml:space="preserve">General Fund Revenue </t>
  </si>
  <si>
    <t xml:space="preserve">Road &amp; Bridge Fund Revenue </t>
  </si>
  <si>
    <t>110-000-467516</t>
  </si>
  <si>
    <t>110-000-467552</t>
  </si>
  <si>
    <t>125-000-422033</t>
  </si>
  <si>
    <t>125-000-467552</t>
  </si>
  <si>
    <t>125-000-467554</t>
  </si>
  <si>
    <t>125-000-422017</t>
  </si>
  <si>
    <t>125-000-422018</t>
  </si>
  <si>
    <t>125-000-450501</t>
  </si>
  <si>
    <t>125-000-472501</t>
  </si>
  <si>
    <t>125-000-475018</t>
  </si>
  <si>
    <t>515-000-467522</t>
  </si>
  <si>
    <t>110-000-467554</t>
  </si>
  <si>
    <t>Misc Revenue</t>
  </si>
  <si>
    <t>110-000-472800</t>
  </si>
  <si>
    <t>Donations / R&amp;B</t>
  </si>
  <si>
    <t>Fire Marshal</t>
  </si>
  <si>
    <t xml:space="preserve">     </t>
  </si>
  <si>
    <t>125-000-422050</t>
  </si>
  <si>
    <t>County Judge State Supplement</t>
  </si>
  <si>
    <t>110-000-467550</t>
  </si>
  <si>
    <t>515-000-467550</t>
  </si>
  <si>
    <t>125-000-422055</t>
  </si>
  <si>
    <t>DA State Supplement</t>
  </si>
  <si>
    <t>125-000-453506</t>
  </si>
  <si>
    <t>Arrest Fee/DA</t>
  </si>
  <si>
    <t>125-000-470600</t>
  </si>
  <si>
    <t>Capital Credit Funds</t>
  </si>
  <si>
    <t>125-000-453507</t>
  </si>
  <si>
    <t>911 Sign Fees</t>
  </si>
  <si>
    <t>Arrest Fee/Katy ISD PD</t>
  </si>
  <si>
    <t>Grants</t>
  </si>
  <si>
    <t>110-000-423826</t>
  </si>
  <si>
    <t>Federal Revenue</t>
  </si>
  <si>
    <t>125-000-423826</t>
  </si>
  <si>
    <t>125-000-450550</t>
  </si>
  <si>
    <t>Truancy Fine</t>
  </si>
  <si>
    <t>Fire Marshal Fines/Fees</t>
  </si>
  <si>
    <t>125-000-470020</t>
  </si>
  <si>
    <t>Rental Fee/Comm Crt</t>
  </si>
  <si>
    <t>Miscellaneous Revenue</t>
  </si>
  <si>
    <t>125-000-453505</t>
  </si>
  <si>
    <t xml:space="preserve">Between </t>
  </si>
  <si>
    <t>Rollback Taxes</t>
  </si>
  <si>
    <t>125-000-472405</t>
  </si>
  <si>
    <t xml:space="preserve"> Tax Office Salary Supplement</t>
  </si>
  <si>
    <t>125-000-470050</t>
  </si>
  <si>
    <t>Tobacco Settlement</t>
  </si>
  <si>
    <t>125-000-422060</t>
  </si>
  <si>
    <t>Motor Vehicle Sales Tax Comm.</t>
  </si>
  <si>
    <t>Environmental</t>
  </si>
  <si>
    <t xml:space="preserve">  </t>
  </si>
  <si>
    <t>125-000-422042</t>
  </si>
  <si>
    <t>State Traffic Fine/County</t>
  </si>
  <si>
    <t>125-000-433550</t>
  </si>
  <si>
    <t>Mass Gathering Application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</si>
  <si>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</si>
  <si>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Formerly the effective tax rate.</t>
  </si>
  <si>
    <t>125-000-412502</t>
  </si>
  <si>
    <t>Tax Abatement</t>
  </si>
  <si>
    <t>125-000-422001</t>
  </si>
  <si>
    <t>CCC/County</t>
  </si>
  <si>
    <t>125-000-422070</t>
  </si>
  <si>
    <t>Specialty Court/County</t>
  </si>
  <si>
    <t>Enviromental-Septic</t>
  </si>
  <si>
    <t>125-000-431003</t>
  </si>
  <si>
    <t>ENV.-On site Sewage Facility</t>
  </si>
  <si>
    <t>125-000-444010</t>
  </si>
  <si>
    <t>Jury Fund</t>
  </si>
  <si>
    <t>125-000-450560</t>
  </si>
  <si>
    <t>Truancy Prevention &amp; Diversion</t>
  </si>
  <si>
    <t>125-000-451514</t>
  </si>
  <si>
    <t>DC Tax Sale Excess Proceeds</t>
  </si>
  <si>
    <t>125-000-471905</t>
  </si>
  <si>
    <t>Public Information Request</t>
  </si>
  <si>
    <t>Option to propose NNR (no new revenue rate)</t>
  </si>
  <si>
    <t>Change</t>
  </si>
  <si>
    <t>Adopted</t>
  </si>
  <si>
    <t>Recycle Center</t>
  </si>
  <si>
    <t xml:space="preserve">Tax </t>
  </si>
  <si>
    <t>% of New</t>
  </si>
  <si>
    <t>Rollback/Voter</t>
  </si>
  <si>
    <t>Value</t>
  </si>
  <si>
    <t>Rate</t>
  </si>
  <si>
    <t>NNR Rate</t>
  </si>
  <si>
    <t>Approved Rate</t>
  </si>
  <si>
    <t>NNR +5%</t>
  </si>
  <si>
    <t>NNR +7%</t>
  </si>
  <si>
    <t>NNR +8%</t>
  </si>
  <si>
    <t>NNR</t>
  </si>
  <si>
    <t xml:space="preserve">Value &amp; Net </t>
  </si>
  <si>
    <t>Taxable Increase</t>
  </si>
  <si>
    <t>Option to propose NNR + 3%</t>
  </si>
  <si>
    <t>Option to propose NNR + 2.5%</t>
  </si>
  <si>
    <t>Option to propose NNR + 2%</t>
  </si>
  <si>
    <t>Option to propose NNR + 1%</t>
  </si>
  <si>
    <t>Tax Rate Options:</t>
  </si>
  <si>
    <t>Option 1</t>
  </si>
  <si>
    <t>Propose NNR (formerly effective rate)</t>
  </si>
  <si>
    <t>Option 2</t>
  </si>
  <si>
    <t>Propose NNR + .05%</t>
  </si>
  <si>
    <t>Propose NNR + 1.00%</t>
  </si>
  <si>
    <t>Propose NNR + 2.00%</t>
  </si>
  <si>
    <t>Propose NNR + 2.50%</t>
  </si>
  <si>
    <t>Propose NNR + 3.00%</t>
  </si>
  <si>
    <t>Propose NNR + 3.50%</t>
  </si>
  <si>
    <t>Option 3</t>
  </si>
  <si>
    <t>Option 4</t>
  </si>
  <si>
    <t>Option 6</t>
  </si>
  <si>
    <t>Option 7</t>
  </si>
  <si>
    <t>Option 8</t>
  </si>
  <si>
    <t>Option to propose NNR + 1.5%</t>
  </si>
  <si>
    <t>Propose NNR + 1.50%</t>
  </si>
  <si>
    <t>Option 9</t>
  </si>
  <si>
    <t>Option 10</t>
  </si>
  <si>
    <t>New Value</t>
  </si>
  <si>
    <t>2022 expenditure increase</t>
  </si>
  <si>
    <t>% of NV to increased budget</t>
  </si>
  <si>
    <t>freeze increase * 96%</t>
  </si>
  <si>
    <t>Levy from NV</t>
  </si>
  <si>
    <t>Levy beyond NV</t>
  </si>
  <si>
    <t>#</t>
  </si>
  <si>
    <t>Collection</t>
  </si>
  <si>
    <t>Tax</t>
  </si>
  <si>
    <t>Certified</t>
  </si>
  <si>
    <t>Property Tax Values</t>
  </si>
  <si>
    <t>in GWA Certified</t>
  </si>
  <si>
    <t>% Increase</t>
  </si>
  <si>
    <t>Source of data:</t>
  </si>
  <si>
    <t>From the WCAD Certified Estimates of Appraisal Value &amp; Certified Appraisal Values.</t>
  </si>
  <si>
    <t>The above data is "after freeze'</t>
  </si>
  <si>
    <t>In New</t>
  </si>
  <si>
    <t>(Column K/I)</t>
  </si>
  <si>
    <t xml:space="preserve">Adopted </t>
  </si>
  <si>
    <t>M&amp;O</t>
  </si>
  <si>
    <t>General</t>
  </si>
  <si>
    <t>R&amp;B</t>
  </si>
  <si>
    <t>Roads</t>
  </si>
  <si>
    <t>Service</t>
  </si>
  <si>
    <t>Columns K-N is the tax rate allocation per the Budget Summary and the actual adopted budget information.</t>
  </si>
  <si>
    <t>Column I is from the YTD Property Tax Report from the WC Tax Office.</t>
  </si>
  <si>
    <t>Column H is the actual tax rate scenario approved by the court.</t>
  </si>
  <si>
    <t>Columns C-G is from the Truth in Taxation Rate Calculations.</t>
  </si>
  <si>
    <t>NNR +4%</t>
  </si>
  <si>
    <t>Tax Rate Data</t>
  </si>
  <si>
    <t>125-000-422056</t>
  </si>
  <si>
    <t>Bail Bond Board Fees</t>
  </si>
  <si>
    <t>125-000-442001</t>
  </si>
  <si>
    <t>Inmate Housing</t>
  </si>
  <si>
    <t>22 &amp; 23</t>
  </si>
  <si>
    <t>2023 Budget Summary</t>
  </si>
  <si>
    <t>Summary of Budget Detail</t>
  </si>
  <si>
    <t>2023 Rate Options</t>
  </si>
  <si>
    <t>2022 Adopted Rate</t>
  </si>
  <si>
    <t>Due February 15, 2023</t>
  </si>
  <si>
    <t>Due August 15, 2023</t>
  </si>
  <si>
    <t>CARES ACT &amp;</t>
  </si>
  <si>
    <t>ARPA Funds have</t>
  </si>
  <si>
    <t>helped us take care of</t>
  </si>
  <si>
    <t xml:space="preserve">needs while keeping </t>
  </si>
  <si>
    <t>rate decreasing.  WC</t>
  </si>
  <si>
    <t xml:space="preserve">adopted the NNR </t>
  </si>
  <si>
    <t>rate while using these</t>
  </si>
  <si>
    <t>federal funds to fund</t>
  </si>
  <si>
    <t>growth items.</t>
  </si>
  <si>
    <t>NNR +3.5%</t>
  </si>
  <si>
    <t xml:space="preserve">Appraised </t>
  </si>
  <si>
    <t>Budget Year 2023</t>
  </si>
  <si>
    <t>After deleting anything under $100</t>
  </si>
  <si>
    <t>Rounding up to closet 100</t>
  </si>
  <si>
    <t>Option to propose NNR + 0.5%</t>
  </si>
  <si>
    <t>2022 budget notes</t>
  </si>
  <si>
    <t>Option to propose NNR + 3.49978%</t>
  </si>
  <si>
    <t>M&amp;O adjusted</t>
  </si>
  <si>
    <t>FM adjusted</t>
  </si>
  <si>
    <t xml:space="preserve">NNR </t>
  </si>
  <si>
    <t xml:space="preserve">Unused increment </t>
  </si>
  <si>
    <t>Voter approved</t>
  </si>
  <si>
    <t>adjusted for unused</t>
  </si>
  <si>
    <t>From TNT reports</t>
  </si>
  <si>
    <t>2023 budget notes</t>
  </si>
  <si>
    <t>2023 expenditure increase</t>
  </si>
  <si>
    <t>Option to propose NNR + 3.49978% + unused increment of $.018186</t>
  </si>
  <si>
    <t>Option to propose NNR + 3.49978% + unused increment of $.065096</t>
  </si>
  <si>
    <t>adjust to what I added to interest expense</t>
  </si>
  <si>
    <t>adjust downward</t>
  </si>
  <si>
    <t>NNR + 3.5%</t>
  </si>
  <si>
    <t xml:space="preserve">using current "salary sweep" </t>
  </si>
  <si>
    <t>absorb 25% in the general fund.</t>
  </si>
  <si>
    <t>Options to 2023 budget:</t>
  </si>
  <si>
    <t>Option to propose NNR + 3.49978% + unused increment of $.010000</t>
  </si>
  <si>
    <t>Propose NNR + 3.5% + 2020 unused increment $.018186</t>
  </si>
  <si>
    <t>Propose NNR + 3.5% + 2020/21 unused increment $.065096</t>
  </si>
  <si>
    <t>Option 12</t>
  </si>
  <si>
    <t>Propose NNR + 3.5% + 2020 unused increment $.010000</t>
  </si>
  <si>
    <t>Surplus from 8-10-2022 Mike worksheet</t>
  </si>
  <si>
    <t>2. Reduce reserves from $3M to $1.5M</t>
  </si>
  <si>
    <t>3.  Rounding revenues</t>
  </si>
  <si>
    <t>Potential changes:</t>
  </si>
  <si>
    <t xml:space="preserve">4. Reduce APRA salaries to 75% funded and </t>
  </si>
  <si>
    <t>5. Reduce R&amp;B equipment by $250,000.00</t>
  </si>
  <si>
    <t>Option to propose NNR + 3.49978% + unused increment of $.012500</t>
  </si>
  <si>
    <t>Option 13</t>
  </si>
  <si>
    <t>Option 14</t>
  </si>
  <si>
    <t>Propose NNR + 3.5% + 2020 unused increment $.012500</t>
  </si>
  <si>
    <t>Option to propose NNR + 3.49978% + unused increment of $.015000</t>
  </si>
  <si>
    <t>Option 15</t>
  </si>
  <si>
    <t>Propose NNR + 3.5% + 2020 unused increment $.015000</t>
  </si>
  <si>
    <t>1. Adopt NNR + 3.5%</t>
  </si>
  <si>
    <t>using option 10</t>
  </si>
  <si>
    <t>before other adjustments</t>
  </si>
  <si>
    <t>Dozer</t>
  </si>
  <si>
    <t>4 dump trucks</t>
  </si>
  <si>
    <t>Gradall</t>
  </si>
  <si>
    <t>7. increase collection rate to .97</t>
  </si>
  <si>
    <t>6. budget for interest earnings</t>
  </si>
  <si>
    <t>125-000-467550</t>
  </si>
  <si>
    <t>97% Collection</t>
  </si>
  <si>
    <t>Change in collection rate</t>
  </si>
  <si>
    <t>3.50% increase</t>
  </si>
  <si>
    <t>refunds and other items</t>
  </si>
  <si>
    <t>Freeze increase 97%</t>
  </si>
  <si>
    <t>?????</t>
  </si>
  <si>
    <t>Publication for tax increase (overall rate, not M&amp;O)</t>
  </si>
  <si>
    <t>Debt increase</t>
  </si>
  <si>
    <t>County/FM M&amp;O</t>
  </si>
  <si>
    <t>NNR + Debt</t>
  </si>
  <si>
    <t>125-418-510027</t>
  </si>
  <si>
    <t>125-419-510027</t>
  </si>
  <si>
    <t>125-420-510027</t>
  </si>
  <si>
    <t>125-421-510027</t>
  </si>
  <si>
    <t>125-506-587523</t>
  </si>
  <si>
    <t>125-506-545310</t>
  </si>
  <si>
    <t>125-411-569800</t>
  </si>
  <si>
    <t>Transfer to R&amp;B</t>
  </si>
  <si>
    <t>Transfer from general fund</t>
  </si>
  <si>
    <t>Interest earnings</t>
  </si>
  <si>
    <t>Fleet Management</t>
  </si>
  <si>
    <t>Staff Training</t>
  </si>
  <si>
    <t>JP 1 Staff Salary</t>
  </si>
  <si>
    <t>JP 2 Staff Salary</t>
  </si>
  <si>
    <t>JP 3 Staff Salary</t>
  </si>
  <si>
    <t>JP 4 Staff Salary</t>
  </si>
  <si>
    <t>Transfer from other funds</t>
  </si>
  <si>
    <t>110-524-510085</t>
  </si>
  <si>
    <t>Floodplain</t>
  </si>
  <si>
    <t>As of September, 2022 year to date recap report.</t>
  </si>
  <si>
    <r>
      <t>Surplus/</t>
    </r>
    <r>
      <rPr>
        <sz val="11"/>
        <color rgb="FFFF0000"/>
        <rFont val="Times New Roman"/>
        <family val="1"/>
      </rPr>
      <t>(Deficit</t>
    </r>
    <r>
      <rPr>
        <sz val="11"/>
        <color theme="1"/>
        <rFont val="Times New Roman"/>
        <family val="1"/>
      </rPr>
      <t>)</t>
    </r>
  </si>
  <si>
    <t>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</si>
</sst>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.000000_);\(#,##0.000000\)"/>
    <numFmt numFmtId="165" formatCode="0_);\(0\)"/>
    <numFmt numFmtId="166" formatCode="0.000000"/>
    <numFmt numFmtId="167" formatCode="_(* #,##0.000000_);_(* \(#,##0.000000\);_(* &quot;-&quot;??????_);_(@_)"/>
    <numFmt numFmtId="168" formatCode="#,##0.000000"/>
    <numFmt numFmtId="169" formatCode="#,##0.000000_);[Red]\(#,##0.000000\)"/>
    <numFmt numFmtId="170" formatCode="#,##0;[Red]#,##0"/>
    <numFmt numFmtId="171" formatCode="#,##0.0000"/>
    <numFmt numFmtId="172" formatCode="[$-409]mmmm\ d\,\ yyyy;@"/>
  </numFmts>
  <fonts count="9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4">
    <xf numFmtId="0" fontId="0" fillId="0" borderId="0" xfId="0"/>
    <xf numFmtId="38" fontId="0" fillId="0" borderId="0" xfId="0" applyNumberFormat="1"/>
    <xf numFmtId="4" fontId="0" fillId="0" borderId="0" xfId="0" applyNumberFormat="1"/>
    <xf numFmtId="41" fontId="0" fillId="0" borderId="0" xfId="0" applyNumberForma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4" fillId="0" borderId="0" xfId="0" applyNumberFormat="1" applyFont="1"/>
    <xf numFmtId="166" fontId="4" fillId="0" borderId="0" xfId="0" quotePrefix="1" applyNumberFormat="1" applyFont="1"/>
    <xf numFmtId="166" fontId="4" fillId="0" borderId="12" xfId="0" applyNumberFormat="1" applyFont="1" applyBorder="1"/>
    <xf numFmtId="166" fontId="0" fillId="0" borderId="0" xfId="0" applyNumberFormat="1"/>
    <xf numFmtId="4" fontId="3" fillId="0" borderId="0" xfId="0" applyNumberFormat="1" applyFont="1"/>
    <xf numFmtId="4" fontId="4" fillId="0" borderId="0" xfId="0" applyNumberFormat="1" applyFont="1"/>
    <xf numFmtId="0" fontId="4" fillId="0" borderId="5" xfId="0" applyFont="1" applyBorder="1"/>
    <xf numFmtId="0" fontId="4" fillId="0" borderId="6" xfId="0" applyFont="1" applyBorder="1"/>
    <xf numFmtId="165" fontId="3" fillId="0" borderId="6" xfId="0" applyNumberFormat="1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0" fontId="4" fillId="0" borderId="8" xfId="0" applyFont="1" applyBorder="1"/>
    <xf numFmtId="0" fontId="3" fillId="0" borderId="9" xfId="0" applyFont="1" applyBorder="1" applyAlignment="1">
      <alignment horizontal="center"/>
    </xf>
    <xf numFmtId="41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1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4" fillId="0" borderId="0" xfId="0" applyNumberFormat="1" applyFont="1"/>
    <xf numFmtId="0" fontId="3" fillId="0" borderId="0" xfId="0" applyFont="1"/>
    <xf numFmtId="6" fontId="4" fillId="0" borderId="0" xfId="0" applyNumberFormat="1" applyFont="1"/>
    <xf numFmtId="6" fontId="4" fillId="2" borderId="0" xfId="0" applyNumberFormat="1" applyFont="1" applyFill="1"/>
    <xf numFmtId="10" fontId="4" fillId="0" borderId="0" xfId="0" applyNumberFormat="1" applyFont="1"/>
    <xf numFmtId="41" fontId="4" fillId="0" borderId="1" xfId="0" applyNumberFormat="1" applyFont="1" applyBorder="1"/>
    <xf numFmtId="6" fontId="4" fillId="0" borderId="4" xfId="0" applyNumberFormat="1" applyFont="1" applyBorder="1"/>
    <xf numFmtId="38" fontId="4" fillId="0" borderId="0" xfId="0" applyNumberFormat="1" applyFont="1"/>
    <xf numFmtId="10" fontId="4" fillId="0" borderId="4" xfId="0" applyNumberFormat="1" applyFont="1" applyBorder="1"/>
    <xf numFmtId="41" fontId="4" fillId="2" borderId="0" xfId="0" applyNumberFormat="1" applyFont="1" applyFill="1"/>
    <xf numFmtId="40" fontId="4" fillId="0" borderId="0" xfId="0" applyNumberFormat="1" applyFont="1"/>
    <xf numFmtId="10" fontId="4" fillId="0" borderId="1" xfId="0" applyNumberFormat="1" applyFont="1" applyBorder="1"/>
    <xf numFmtId="6" fontId="3" fillId="0" borderId="3" xfId="0" applyNumberFormat="1" applyFont="1" applyBorder="1"/>
    <xf numFmtId="10" fontId="3" fillId="0" borderId="3" xfId="0" applyNumberFormat="1" applyFont="1" applyBorder="1"/>
    <xf numFmtId="0" fontId="4" fillId="4" borderId="0" xfId="0" applyFont="1" applyFill="1"/>
    <xf numFmtId="41" fontId="4" fillId="4" borderId="0" xfId="0" applyNumberFormat="1" applyFont="1" applyFill="1"/>
    <xf numFmtId="6" fontId="4" fillId="4" borderId="0" xfId="0" applyNumberFormat="1" applyFont="1" applyFill="1"/>
    <xf numFmtId="0" fontId="3" fillId="0" borderId="5" xfId="0" applyFont="1" applyBorder="1"/>
    <xf numFmtId="0" fontId="3" fillId="0" borderId="6" xfId="0" applyFont="1" applyBorder="1"/>
    <xf numFmtId="41" fontId="4" fillId="0" borderId="6" xfId="0" applyNumberFormat="1" applyFont="1" applyBorder="1"/>
    <xf numFmtId="0" fontId="3" fillId="0" borderId="9" xfId="0" applyFont="1" applyBorder="1"/>
    <xf numFmtId="0" fontId="4" fillId="0" borderId="10" xfId="0" applyFont="1" applyBorder="1"/>
    <xf numFmtId="165" fontId="3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41" fontId="7" fillId="0" borderId="1" xfId="0" applyNumberFormat="1" applyFont="1" applyBorder="1" applyAlignment="1">
      <alignment horizontal="center"/>
    </xf>
    <xf numFmtId="0" fontId="4" fillId="0" borderId="9" xfId="0" applyFont="1" applyBorder="1"/>
    <xf numFmtId="38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6" fontId="4" fillId="0" borderId="16" xfId="0" applyNumberFormat="1" applyFont="1" applyBorder="1"/>
    <xf numFmtId="41" fontId="4" fillId="0" borderId="16" xfId="0" applyNumberFormat="1" applyFont="1" applyBorder="1"/>
    <xf numFmtId="0" fontId="4" fillId="0" borderId="13" xfId="0" applyFont="1" applyBorder="1"/>
    <xf numFmtId="41" fontId="6" fillId="0" borderId="0" xfId="0" applyNumberFormat="1" applyFont="1"/>
    <xf numFmtId="41" fontId="3" fillId="0" borderId="7" xfId="0" applyNumberFormat="1" applyFont="1" applyBorder="1"/>
    <xf numFmtId="4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166" fontId="4" fillId="0" borderId="0" xfId="0" applyNumberFormat="1" applyFont="1" applyAlignment="1">
      <alignment horizontal="center"/>
    </xf>
    <xf numFmtId="169" fontId="4" fillId="0" borderId="0" xfId="0" applyNumberFormat="1" applyFont="1"/>
    <xf numFmtId="4" fontId="4" fillId="0" borderId="10" xfId="0" applyNumberFormat="1" applyFont="1" applyBorder="1"/>
    <xf numFmtId="171" fontId="4" fillId="0" borderId="0" xfId="0" applyNumberFormat="1" applyFont="1"/>
    <xf numFmtId="168" fontId="4" fillId="0" borderId="0" xfId="0" applyNumberFormat="1" applyFont="1"/>
    <xf numFmtId="1" fontId="4" fillId="0" borderId="0" xfId="0" applyNumberFormat="1" applyFont="1"/>
    <xf numFmtId="166" fontId="4" fillId="2" borderId="0" xfId="0" applyNumberFormat="1" applyFont="1" applyFill="1"/>
    <xf numFmtId="0" fontId="4" fillId="2" borderId="9" xfId="0" applyFont="1" applyFill="1" applyBorder="1"/>
    <xf numFmtId="0" fontId="4" fillId="2" borderId="0" xfId="0" applyFont="1" applyFill="1"/>
    <xf numFmtId="166" fontId="4" fillId="2" borderId="0" xfId="0" applyNumberFormat="1" applyFont="1" applyFill="1" applyAlignment="1">
      <alignment horizontal="center"/>
    </xf>
    <xf numFmtId="169" fontId="4" fillId="2" borderId="0" xfId="0" applyNumberFormat="1" applyFont="1" applyFill="1"/>
    <xf numFmtId="4" fontId="4" fillId="2" borderId="0" xfId="0" applyNumberFormat="1" applyFont="1" applyFill="1"/>
    <xf numFmtId="0" fontId="4" fillId="0" borderId="1" xfId="0" applyFont="1" applyBorder="1"/>
    <xf numFmtId="0" fontId="4" fillId="0" borderId="4" xfId="0" applyFont="1" applyBorder="1"/>
    <xf numFmtId="166" fontId="4" fillId="0" borderId="12" xfId="0" applyNumberFormat="1" applyFont="1" applyBorder="1" applyAlignment="1">
      <alignment horizontal="center"/>
    </xf>
    <xf numFmtId="169" fontId="4" fillId="0" borderId="12" xfId="0" applyNumberFormat="1" applyFont="1" applyBorder="1"/>
    <xf numFmtId="4" fontId="4" fillId="0" borderId="12" xfId="0" applyNumberFormat="1" applyFont="1" applyBorder="1"/>
    <xf numFmtId="0" fontId="5" fillId="3" borderId="5" xfId="0" applyFont="1" applyFill="1" applyBorder="1"/>
    <xf numFmtId="0" fontId="4" fillId="3" borderId="6" xfId="0" applyFont="1" applyFill="1" applyBorder="1"/>
    <xf numFmtId="1" fontId="3" fillId="0" borderId="6" xfId="0" applyNumberFormat="1" applyFont="1" applyBorder="1" applyAlignment="1">
      <alignment horizontal="center"/>
    </xf>
    <xf numFmtId="0" fontId="5" fillId="3" borderId="9" xfId="0" applyFont="1" applyFill="1" applyBorder="1"/>
    <xf numFmtId="0" fontId="4" fillId="3" borderId="0" xfId="0" applyFont="1" applyFill="1"/>
    <xf numFmtId="41" fontId="3" fillId="0" borderId="14" xfId="0" applyNumberFormat="1" applyFont="1" applyBorder="1" applyAlignment="1">
      <alignment horizontal="center"/>
    </xf>
    <xf numFmtId="37" fontId="4" fillId="0" borderId="0" xfId="0" applyNumberFormat="1" applyFont="1"/>
    <xf numFmtId="43" fontId="4" fillId="0" borderId="0" xfId="0" applyNumberFormat="1" applyFont="1"/>
    <xf numFmtId="0" fontId="4" fillId="0" borderId="1" xfId="0" applyFont="1" applyBorder="1" applyAlignment="1">
      <alignment horizontal="center"/>
    </xf>
    <xf numFmtId="164" fontId="4" fillId="0" borderId="0" xfId="0" applyNumberFormat="1" applyFont="1"/>
    <xf numFmtId="167" fontId="4" fillId="0" borderId="0" xfId="0" applyNumberFormat="1" applyFont="1"/>
    <xf numFmtId="167" fontId="4" fillId="0" borderId="10" xfId="0" applyNumberFormat="1" applyFont="1" applyBorder="1"/>
    <xf numFmtId="39" fontId="4" fillId="0" borderId="10" xfId="0" applyNumberFormat="1" applyFont="1" applyBorder="1"/>
    <xf numFmtId="39" fontId="4" fillId="0" borderId="0" xfId="0" applyNumberFormat="1" applyFont="1"/>
    <xf numFmtId="43" fontId="4" fillId="0" borderId="1" xfId="0" applyNumberFormat="1" applyFont="1" applyBorder="1"/>
    <xf numFmtId="167" fontId="4" fillId="0" borderId="14" xfId="0" applyNumberFormat="1" applyFont="1" applyBorder="1"/>
    <xf numFmtId="43" fontId="4" fillId="0" borderId="2" xfId="0" applyNumberFormat="1" applyFont="1" applyBorder="1"/>
    <xf numFmtId="40" fontId="4" fillId="0" borderId="15" xfId="0" applyNumberFormat="1" applyFont="1" applyBorder="1"/>
    <xf numFmtId="40" fontId="4" fillId="0" borderId="10" xfId="0" applyNumberFormat="1" applyFont="1" applyBorder="1"/>
    <xf numFmtId="4" fontId="4" fillId="0" borderId="1" xfId="0" applyNumberFormat="1" applyFont="1" applyBorder="1"/>
    <xf numFmtId="40" fontId="4" fillId="0" borderId="1" xfId="0" applyNumberFormat="1" applyFont="1" applyBorder="1"/>
    <xf numFmtId="3" fontId="4" fillId="0" borderId="0" xfId="0" applyNumberFormat="1" applyFont="1"/>
    <xf numFmtId="4" fontId="4" fillId="0" borderId="4" xfId="0" applyNumberFormat="1" applyFont="1" applyBorder="1"/>
    <xf numFmtId="167" fontId="4" fillId="0" borderId="1" xfId="0" applyNumberFormat="1" applyFont="1" applyBorder="1"/>
    <xf numFmtId="39" fontId="4" fillId="0" borderId="1" xfId="0" applyNumberFormat="1" applyFont="1" applyBorder="1"/>
    <xf numFmtId="40" fontId="4" fillId="0" borderId="14" xfId="0" applyNumberFormat="1" applyFont="1" applyBorder="1"/>
    <xf numFmtId="164" fontId="4" fillId="0" borderId="12" xfId="0" applyNumberFormat="1" applyFont="1" applyBorder="1"/>
    <xf numFmtId="167" fontId="4" fillId="0" borderId="16" xfId="0" applyNumberFormat="1" applyFont="1" applyBorder="1"/>
    <xf numFmtId="43" fontId="4" fillId="0" borderId="16" xfId="0" applyNumberFormat="1" applyFont="1" applyBorder="1"/>
    <xf numFmtId="39" fontId="4" fillId="0" borderId="16" xfId="0" applyNumberFormat="1" applyFont="1" applyBorder="1"/>
    <xf numFmtId="40" fontId="4" fillId="0" borderId="17" xfId="0" applyNumberFormat="1" applyFont="1" applyBorder="1"/>
    <xf numFmtId="43" fontId="4" fillId="0" borderId="6" xfId="0" applyNumberFormat="1" applyFont="1" applyBorder="1"/>
    <xf numFmtId="0" fontId="5" fillId="0" borderId="9" xfId="0" applyFont="1" applyBorder="1"/>
    <xf numFmtId="43" fontId="3" fillId="0" borderId="0" xfId="0" applyNumberFormat="1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166" fontId="4" fillId="0" borderId="1" xfId="0" applyNumberFormat="1" applyFont="1" applyBorder="1"/>
    <xf numFmtId="40" fontId="4" fillId="0" borderId="12" xfId="0" applyNumberFormat="1" applyFont="1" applyBorder="1"/>
    <xf numFmtId="41" fontId="4" fillId="0" borderId="19" xfId="0" applyNumberFormat="1" applyFont="1" applyBorder="1"/>
    <xf numFmtId="1" fontId="3" fillId="0" borderId="19" xfId="0" applyNumberFormat="1" applyFont="1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 applyAlignment="1">
      <alignment horizontal="center"/>
    </xf>
    <xf numFmtId="169" fontId="4" fillId="0" borderId="1" xfId="0" applyNumberFormat="1" applyFont="1" applyBorder="1"/>
    <xf numFmtId="169" fontId="4" fillId="0" borderId="4" xfId="0" applyNumberFormat="1" applyFont="1" applyBorder="1"/>
    <xf numFmtId="41" fontId="4" fillId="0" borderId="4" xfId="0" applyNumberFormat="1" applyFont="1" applyBorder="1"/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66" fontId="4" fillId="0" borderId="9" xfId="0" applyNumberFormat="1" applyFont="1" applyBorder="1"/>
    <xf numFmtId="166" fontId="4" fillId="0" borderId="10" xfId="0" applyNumberFormat="1" applyFont="1" applyBorder="1"/>
    <xf numFmtId="1" fontId="4" fillId="0" borderId="9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0" fontId="4" fillId="0" borderId="0" xfId="0" applyNumberFormat="1" applyFont="1" applyAlignment="1">
      <alignment horizontal="center"/>
    </xf>
    <xf numFmtId="9" fontId="4" fillId="0" borderId="0" xfId="0" applyNumberFormat="1" applyFont="1"/>
    <xf numFmtId="0" fontId="4" fillId="0" borderId="9" xfId="0" applyFont="1" applyBorder="1" applyAlignment="1">
      <alignment horizontal="center"/>
    </xf>
    <xf numFmtId="10" fontId="4" fillId="0" borderId="10" xfId="0" applyNumberFormat="1" applyFont="1" applyBorder="1"/>
    <xf numFmtId="0" fontId="5" fillId="0" borderId="0" xfId="0" applyFont="1"/>
    <xf numFmtId="165" fontId="3" fillId="0" borderId="0" xfId="0" applyNumberFormat="1" applyFont="1"/>
    <xf numFmtId="0" fontId="3" fillId="0" borderId="12" xfId="0" applyFont="1" applyBorder="1"/>
    <xf numFmtId="38" fontId="4" fillId="0" borderId="1" xfId="0" applyNumberFormat="1" applyFont="1" applyBorder="1"/>
    <xf numFmtId="38" fontId="4" fillId="0" borderId="2" xfId="0" applyNumberFormat="1" applyFont="1" applyBorder="1"/>
    <xf numFmtId="3" fontId="4" fillId="0" borderId="2" xfId="0" applyNumberFormat="1" applyFont="1" applyBorder="1"/>
    <xf numFmtId="37" fontId="4" fillId="0" borderId="2" xfId="0" applyNumberFormat="1" applyFont="1" applyBorder="1"/>
    <xf numFmtId="3" fontId="4" fillId="2" borderId="0" xfId="0" applyNumberFormat="1" applyFont="1" applyFill="1"/>
    <xf numFmtId="3" fontId="4" fillId="0" borderId="1" xfId="0" applyNumberFormat="1" applyFont="1" applyBorder="1"/>
    <xf numFmtId="3" fontId="4" fillId="0" borderId="3" xfId="0" applyNumberFormat="1" applyFont="1" applyBorder="1"/>
    <xf numFmtId="38" fontId="4" fillId="2" borderId="1" xfId="0" applyNumberFormat="1" applyFont="1" applyFill="1" applyBorder="1"/>
    <xf numFmtId="17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" fontId="4" fillId="0" borderId="11" xfId="0" applyNumberFormat="1" applyFont="1" applyBorder="1"/>
    <xf numFmtId="1" fontId="4" fillId="0" borderId="12" xfId="0" applyNumberFormat="1" applyFont="1" applyBorder="1"/>
    <xf numFmtId="3" fontId="4" fillId="0" borderId="12" xfId="0" applyNumberFormat="1" applyFont="1" applyBorder="1"/>
    <xf numFmtId="10" fontId="4" fillId="0" borderId="12" xfId="0" applyNumberFormat="1" applyFont="1" applyBorder="1"/>
    <xf numFmtId="10" fontId="4" fillId="2" borderId="0" xfId="0" applyNumberFormat="1" applyFont="1" applyFill="1"/>
    <xf numFmtId="43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1" fontId="4" fillId="2" borderId="9" xfId="0" applyNumberFormat="1" applyFont="1" applyFill="1" applyBorder="1"/>
    <xf numFmtId="1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6" fontId="4" fillId="2" borderId="9" xfId="0" applyNumberFormat="1" applyFont="1" applyFill="1" applyBorder="1"/>
    <xf numFmtId="166" fontId="4" fillId="2" borderId="10" xfId="0" applyNumberFormat="1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2" fontId="5" fillId="0" borderId="0" xfId="0" applyNumberFormat="1" applyFont="1" applyAlignment="1">
      <alignment horizontal="center"/>
    </xf>
  </cellXfs>
  <cellStyles count="5">
    <cellStyle name="Followed Hyperlink" xfId="1" builtinId="9" hidden="1"/>
    <cellStyle name="Followed Hyperlink" xfId="3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2"/>
  <sheetViews>
    <sheetView tabSelected="1" zoomScale="94" zoomScaleNormal="94" zoomScalePageLayoutView="110" workbookViewId="0">
      <pane ySplit="7" topLeftCell="A8" activePane="bottomLeft" state="frozen"/>
      <selection activeCell="N17" sqref="N17"/>
      <selection pane="bottomLeft" activeCell="E245" sqref="E245:E246"/>
    </sheetView>
  </sheetViews>
  <sheetFormatPr defaultColWidth="8.6640625" defaultRowHeight="14.4" x14ac:dyDescent="0.3"/>
  <cols>
    <col min="2" max="2" width="0.5546875" customWidth="1"/>
    <col min="3" max="3" width="9.109375" bestFit="1" customWidth="1"/>
    <col min="4" max="4" width="42.33203125" customWidth="1"/>
    <col min="5" max="5" width="17.44140625" style="3" customWidth="1"/>
    <col min="6" max="6" width="17.44140625" style="3" bestFit="1" customWidth="1"/>
    <col min="7" max="7" width="15.33203125" style="3" customWidth="1"/>
    <col min="8" max="8" width="15.5546875" style="3" bestFit="1" customWidth="1"/>
    <col min="9" max="9" width="0.88671875" customWidth="1"/>
    <col min="10" max="10" width="16.6640625" customWidth="1"/>
    <col min="11" max="11" width="2.33203125" customWidth="1"/>
    <col min="12" max="12" width="19" style="2" bestFit="1" customWidth="1"/>
    <col min="13" max="13" width="17.5546875" bestFit="1" customWidth="1"/>
    <col min="14" max="14" width="11" bestFit="1" customWidth="1"/>
    <col min="15" max="15" width="17.33203125" bestFit="1" customWidth="1"/>
    <col min="18" max="18" width="16.88671875" bestFit="1" customWidth="1"/>
  </cols>
  <sheetData>
    <row r="1" spans="1:21" ht="17.399999999999999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4"/>
      <c r="L1" s="16"/>
      <c r="M1" s="4"/>
      <c r="N1" s="4"/>
      <c r="O1" s="4"/>
      <c r="P1" s="4"/>
      <c r="Q1" s="4"/>
      <c r="R1" s="4"/>
      <c r="S1" s="4"/>
      <c r="T1" s="4"/>
      <c r="U1" s="4"/>
    </row>
    <row r="2" spans="1:21" ht="15.6" x14ac:dyDescent="0.3">
      <c r="A2" s="172" t="s">
        <v>674</v>
      </c>
      <c r="B2" s="172"/>
      <c r="C2" s="172"/>
      <c r="D2" s="172"/>
      <c r="E2" s="172"/>
      <c r="F2" s="172"/>
      <c r="G2" s="172"/>
      <c r="H2" s="172"/>
      <c r="I2" s="172"/>
      <c r="J2" s="172"/>
      <c r="K2" s="4"/>
      <c r="L2" s="16"/>
      <c r="M2" s="4"/>
      <c r="N2" s="4"/>
      <c r="O2" s="4"/>
      <c r="P2" s="4"/>
      <c r="Q2" s="4"/>
      <c r="R2" s="4"/>
      <c r="S2" s="4"/>
      <c r="T2" s="4"/>
      <c r="U2" s="4"/>
    </row>
    <row r="3" spans="1:21" ht="15.6" x14ac:dyDescent="0.3">
      <c r="A3" s="173">
        <v>44818</v>
      </c>
      <c r="B3" s="173"/>
      <c r="C3" s="173"/>
      <c r="D3" s="173"/>
      <c r="E3" s="173"/>
      <c r="F3" s="173"/>
      <c r="G3" s="173"/>
      <c r="H3" s="173"/>
      <c r="I3" s="173"/>
      <c r="J3" s="173"/>
      <c r="K3" s="4"/>
      <c r="L3" s="16"/>
      <c r="M3" s="4"/>
      <c r="N3" s="4"/>
      <c r="O3" s="4"/>
      <c r="P3" s="4"/>
      <c r="Q3" s="4"/>
      <c r="R3" s="4"/>
      <c r="S3" s="4"/>
      <c r="T3" s="4"/>
      <c r="U3" s="4"/>
    </row>
    <row r="4" spans="1:21" ht="16.2" thickBot="1" x14ac:dyDescent="0.3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4"/>
      <c r="L4" s="17"/>
      <c r="M4" s="4"/>
      <c r="N4" s="4"/>
      <c r="O4" s="4"/>
      <c r="P4" s="4"/>
      <c r="Q4" s="4"/>
      <c r="R4" s="4"/>
      <c r="S4" s="4"/>
      <c r="T4" s="4"/>
      <c r="U4" s="4"/>
    </row>
    <row r="5" spans="1:21" x14ac:dyDescent="0.3">
      <c r="A5" s="18"/>
      <c r="B5" s="19"/>
      <c r="C5" s="19"/>
      <c r="D5" s="19"/>
      <c r="E5" s="20">
        <v>2023</v>
      </c>
      <c r="F5" s="20">
        <v>2023</v>
      </c>
      <c r="G5" s="20">
        <v>2022</v>
      </c>
      <c r="H5" s="21"/>
      <c r="I5" s="11"/>
      <c r="J5" s="22"/>
      <c r="K5" s="4"/>
      <c r="L5" s="17"/>
      <c r="M5" s="4"/>
      <c r="N5" s="4"/>
      <c r="O5" s="4"/>
      <c r="P5" s="4"/>
      <c r="Q5" s="4"/>
      <c r="R5" s="4"/>
      <c r="S5" s="4"/>
      <c r="T5" s="4"/>
      <c r="U5" s="4"/>
    </row>
    <row r="6" spans="1:21" x14ac:dyDescent="0.3">
      <c r="A6" s="23" t="s">
        <v>1</v>
      </c>
      <c r="B6" s="7"/>
      <c r="C6" s="7" t="s">
        <v>2</v>
      </c>
      <c r="D6" s="7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7"/>
      <c r="J6" s="9" t="s">
        <v>6</v>
      </c>
      <c r="K6" s="4"/>
      <c r="L6" s="25"/>
      <c r="M6" s="7"/>
      <c r="N6" s="4"/>
      <c r="O6" s="4"/>
      <c r="P6" s="4"/>
      <c r="Q6" s="4"/>
      <c r="R6" s="4"/>
      <c r="S6" s="4"/>
      <c r="T6" s="4"/>
      <c r="U6" s="4"/>
    </row>
    <row r="7" spans="1:21" ht="15" thickBot="1" x14ac:dyDescent="0.35">
      <c r="A7" s="26" t="s">
        <v>7</v>
      </c>
      <c r="B7" s="27"/>
      <c r="C7" s="27" t="s">
        <v>7</v>
      </c>
      <c r="D7" s="27" t="s">
        <v>8</v>
      </c>
      <c r="E7" s="28" t="s">
        <v>9</v>
      </c>
      <c r="F7" s="28" t="s">
        <v>10</v>
      </c>
      <c r="G7" s="28" t="s">
        <v>11</v>
      </c>
      <c r="H7" s="28" t="s">
        <v>12</v>
      </c>
      <c r="I7" s="27"/>
      <c r="J7" s="29" t="s">
        <v>13</v>
      </c>
      <c r="K7" s="4"/>
      <c r="L7" s="25"/>
      <c r="M7" s="7"/>
      <c r="N7" s="4"/>
      <c r="O7" s="4"/>
      <c r="P7" s="4"/>
      <c r="Q7" s="4"/>
      <c r="R7" s="4"/>
      <c r="S7" s="4"/>
      <c r="T7" s="4"/>
      <c r="U7" s="4"/>
    </row>
    <row r="8" spans="1:21" x14ac:dyDescent="0.3">
      <c r="A8" s="4"/>
      <c r="B8" s="4"/>
      <c r="C8" s="4"/>
      <c r="D8" s="4"/>
      <c r="E8" s="30"/>
      <c r="F8" s="30"/>
      <c r="G8" s="31"/>
      <c r="H8" s="31"/>
      <c r="I8" s="4"/>
      <c r="J8" s="4"/>
      <c r="K8" s="4"/>
      <c r="L8" s="25"/>
      <c r="M8" s="4"/>
      <c r="N8" s="4"/>
      <c r="O8" s="4"/>
      <c r="P8" s="4"/>
      <c r="Q8" s="4"/>
      <c r="R8" s="4"/>
      <c r="S8" s="4"/>
      <c r="T8" s="4"/>
      <c r="U8" s="4"/>
    </row>
    <row r="9" spans="1:21" x14ac:dyDescent="0.3">
      <c r="A9" s="32" t="s">
        <v>14</v>
      </c>
      <c r="B9" s="4"/>
      <c r="C9" s="4"/>
      <c r="D9" s="4"/>
      <c r="E9" s="31"/>
      <c r="F9" s="31"/>
      <c r="G9" s="31"/>
      <c r="H9" s="31"/>
      <c r="I9" s="4"/>
      <c r="J9" s="4"/>
      <c r="K9" s="4"/>
      <c r="L9" s="17"/>
      <c r="M9" s="4"/>
      <c r="N9" s="4"/>
      <c r="O9" s="4"/>
      <c r="P9" s="4"/>
      <c r="Q9" s="4"/>
      <c r="R9" s="4"/>
      <c r="S9" s="4"/>
      <c r="T9" s="4"/>
      <c r="U9" s="4"/>
    </row>
    <row r="10" spans="1:21" x14ac:dyDescent="0.3">
      <c r="A10" s="4">
        <v>110</v>
      </c>
      <c r="B10" s="4"/>
      <c r="C10" s="4">
        <v>524</v>
      </c>
      <c r="D10" s="4" t="s">
        <v>15</v>
      </c>
      <c r="E10" s="33">
        <v>0</v>
      </c>
      <c r="F10" s="33">
        <f>1367769+3351</f>
        <v>1371120</v>
      </c>
      <c r="G10" s="33">
        <v>959395</v>
      </c>
      <c r="H10" s="33">
        <f>+F10-G10</f>
        <v>411725</v>
      </c>
      <c r="I10" s="4"/>
      <c r="J10" s="35">
        <f>+H10/G10</f>
        <v>0.42915066265719543</v>
      </c>
      <c r="K10" s="4"/>
      <c r="L10" s="17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3">
      <c r="A11" s="4">
        <v>110</v>
      </c>
      <c r="B11" s="4"/>
      <c r="C11" s="4">
        <v>530</v>
      </c>
      <c r="D11" s="4" t="s">
        <v>17</v>
      </c>
      <c r="E11" s="31">
        <v>0</v>
      </c>
      <c r="F11" s="31">
        <v>12879910</v>
      </c>
      <c r="G11" s="31">
        <v>9963341</v>
      </c>
      <c r="H11" s="31">
        <f>+F11-G11</f>
        <v>2916569</v>
      </c>
      <c r="I11" s="4"/>
      <c r="J11" s="35">
        <f>+H11/G11</f>
        <v>0.2927300189765662</v>
      </c>
      <c r="K11" s="4"/>
      <c r="L11" s="17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3">
      <c r="A12" s="4">
        <v>110</v>
      </c>
      <c r="B12" s="4"/>
      <c r="C12" s="4">
        <v>685</v>
      </c>
      <c r="D12" s="4" t="s">
        <v>18</v>
      </c>
      <c r="E12" s="36">
        <v>0</v>
      </c>
      <c r="F12" s="36">
        <f>938298+30221+6670</f>
        <v>975189</v>
      </c>
      <c r="G12" s="36">
        <f>750000+34000+6697</f>
        <v>790697</v>
      </c>
      <c r="H12" s="36">
        <f>+F12-G12</f>
        <v>184492</v>
      </c>
      <c r="I12" s="4"/>
      <c r="J12" s="35">
        <f>+H12/G12</f>
        <v>0.23332831666238774</v>
      </c>
      <c r="K12" s="4"/>
      <c r="L12" s="17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3">
      <c r="A13" s="4"/>
      <c r="B13" s="4"/>
      <c r="C13" s="4"/>
      <c r="D13" s="4" t="s">
        <v>19</v>
      </c>
      <c r="E13" s="37">
        <f>'Revenue-R&amp;B'!$N$43</f>
        <v>15226219</v>
      </c>
      <c r="F13" s="37">
        <f>SUM(F10:F12)</f>
        <v>15226219</v>
      </c>
      <c r="G13" s="37">
        <f>SUM(G10:G12)</f>
        <v>11713433</v>
      </c>
      <c r="H13" s="37">
        <f>SUM(H10:H12)</f>
        <v>3512786</v>
      </c>
      <c r="I13" s="38"/>
      <c r="J13" s="39">
        <f>+H13/G13</f>
        <v>0.299893805684465</v>
      </c>
      <c r="K13" s="4"/>
      <c r="L13" s="17"/>
      <c r="M13" s="38"/>
      <c r="N13" s="4"/>
      <c r="O13" s="4"/>
      <c r="P13" s="4"/>
      <c r="Q13" s="4"/>
      <c r="R13" s="4"/>
      <c r="S13" s="4"/>
      <c r="T13" s="4"/>
      <c r="U13" s="4"/>
    </row>
    <row r="14" spans="1:21" x14ac:dyDescent="0.3">
      <c r="A14" s="4"/>
      <c r="B14" s="4"/>
      <c r="C14" s="4"/>
      <c r="D14" s="4"/>
      <c r="E14" s="31"/>
      <c r="F14" s="31"/>
      <c r="G14" s="31"/>
      <c r="H14" s="31"/>
      <c r="I14" s="38"/>
      <c r="J14" s="35"/>
      <c r="K14" s="4"/>
      <c r="L14" s="17"/>
      <c r="M14" s="38"/>
      <c r="N14" s="4"/>
      <c r="O14" s="4"/>
      <c r="P14" s="4"/>
      <c r="Q14" s="4"/>
      <c r="R14" s="4"/>
      <c r="S14" s="4"/>
      <c r="T14" s="4"/>
      <c r="U14" s="4"/>
    </row>
    <row r="15" spans="1:21" x14ac:dyDescent="0.3">
      <c r="A15" s="32" t="s">
        <v>20</v>
      </c>
      <c r="B15" s="4"/>
      <c r="C15" s="4"/>
      <c r="D15" s="4"/>
      <c r="E15" s="31"/>
      <c r="F15" s="31"/>
      <c r="G15" s="31"/>
      <c r="H15" s="31"/>
      <c r="I15" s="4"/>
      <c r="J15" s="35"/>
      <c r="K15" s="4"/>
      <c r="L15" s="17"/>
      <c r="M15" s="38"/>
      <c r="N15" s="4"/>
      <c r="O15" s="4"/>
      <c r="P15" s="4"/>
      <c r="Q15" s="4"/>
      <c r="R15" s="4"/>
      <c r="S15" s="4"/>
      <c r="T15" s="4"/>
      <c r="U15" s="4"/>
    </row>
    <row r="16" spans="1:21" x14ac:dyDescent="0.3">
      <c r="A16" s="76">
        <v>125</v>
      </c>
      <c r="B16" s="4"/>
      <c r="C16" s="76">
        <v>401</v>
      </c>
      <c r="D16" s="76" t="s">
        <v>21</v>
      </c>
      <c r="E16" s="33">
        <v>0</v>
      </c>
      <c r="F16" s="34">
        <v>798532</v>
      </c>
      <c r="G16" s="34">
        <v>518733</v>
      </c>
      <c r="H16" s="34">
        <f t="shared" ref="H16:H47" si="0">+F16-G16</f>
        <v>279799</v>
      </c>
      <c r="I16" s="4"/>
      <c r="J16" s="162">
        <f t="shared" ref="J16:J47" si="1">+H16/G16</f>
        <v>0.53938924263542132</v>
      </c>
      <c r="K16" s="4"/>
      <c r="L16" s="17"/>
      <c r="M16" s="38"/>
      <c r="N16" s="4"/>
      <c r="O16" s="4"/>
      <c r="P16" s="4"/>
      <c r="Q16" s="4"/>
      <c r="R16" s="4"/>
      <c r="S16" s="4"/>
      <c r="T16" s="4"/>
      <c r="U16" s="4"/>
    </row>
    <row r="17" spans="1:21" x14ac:dyDescent="0.3">
      <c r="A17" s="4">
        <v>125</v>
      </c>
      <c r="B17" s="4"/>
      <c r="C17" s="4">
        <v>403</v>
      </c>
      <c r="D17" s="4" t="s">
        <v>22</v>
      </c>
      <c r="E17" s="31">
        <v>0</v>
      </c>
      <c r="F17" s="31">
        <v>633478</v>
      </c>
      <c r="G17" s="31">
        <v>592627</v>
      </c>
      <c r="H17" s="31">
        <f t="shared" si="0"/>
        <v>40851</v>
      </c>
      <c r="I17" s="4"/>
      <c r="J17" s="35">
        <f t="shared" si="1"/>
        <v>6.8932060132258569E-2</v>
      </c>
      <c r="K17" s="4"/>
      <c r="L17" s="17"/>
      <c r="M17" s="38"/>
      <c r="N17" s="4"/>
      <c r="O17" s="4"/>
      <c r="P17" s="4"/>
      <c r="Q17" s="4"/>
      <c r="R17" s="4"/>
      <c r="S17" s="4"/>
      <c r="T17" s="4"/>
      <c r="U17" s="4"/>
    </row>
    <row r="18" spans="1:21" x14ac:dyDescent="0.3">
      <c r="A18" s="4">
        <v>125</v>
      </c>
      <c r="B18" s="4"/>
      <c r="C18" s="4">
        <v>405</v>
      </c>
      <c r="D18" s="4" t="s">
        <v>23</v>
      </c>
      <c r="E18" s="31">
        <v>0</v>
      </c>
      <c r="F18" s="31">
        <v>47154</v>
      </c>
      <c r="G18" s="31">
        <v>45907</v>
      </c>
      <c r="H18" s="31">
        <f t="shared" si="0"/>
        <v>1247</v>
      </c>
      <c r="I18" s="4"/>
      <c r="J18" s="35">
        <f t="shared" si="1"/>
        <v>2.7163613392293114E-2</v>
      </c>
      <c r="K18" s="4"/>
      <c r="L18" s="17"/>
      <c r="M18" s="38"/>
      <c r="N18" s="4"/>
      <c r="O18" s="4"/>
      <c r="P18" s="4"/>
      <c r="Q18" s="4"/>
      <c r="R18" s="4"/>
      <c r="S18" s="4"/>
      <c r="T18" s="4"/>
      <c r="U18" s="4"/>
    </row>
    <row r="19" spans="1:21" x14ac:dyDescent="0.3">
      <c r="A19" s="4">
        <v>125</v>
      </c>
      <c r="B19" s="4"/>
      <c r="C19" s="4">
        <v>408</v>
      </c>
      <c r="D19" s="4" t="s">
        <v>24</v>
      </c>
      <c r="E19" s="31">
        <v>0</v>
      </c>
      <c r="F19" s="31">
        <v>234561</v>
      </c>
      <c r="G19" s="31">
        <v>220649</v>
      </c>
      <c r="H19" s="31">
        <f t="shared" si="0"/>
        <v>13912</v>
      </c>
      <c r="I19" s="4"/>
      <c r="J19" s="35">
        <f t="shared" si="1"/>
        <v>6.3050365059438299E-2</v>
      </c>
      <c r="K19" s="4"/>
      <c r="L19" s="17"/>
      <c r="M19" s="38"/>
      <c r="N19" s="4"/>
      <c r="O19" s="4"/>
      <c r="P19" s="4"/>
      <c r="Q19" s="4"/>
      <c r="R19" s="4"/>
      <c r="S19" s="4"/>
      <c r="T19" s="4"/>
      <c r="U19" s="4"/>
    </row>
    <row r="20" spans="1:21" x14ac:dyDescent="0.3">
      <c r="A20" s="4">
        <v>125</v>
      </c>
      <c r="B20" s="4"/>
      <c r="C20" s="4">
        <v>411</v>
      </c>
      <c r="D20" s="4" t="s">
        <v>25</v>
      </c>
      <c r="E20" s="31">
        <v>0</v>
      </c>
      <c r="F20" s="31">
        <f>10769906-1149853+141595-80000+3351</f>
        <v>9684999</v>
      </c>
      <c r="G20" s="31">
        <v>6538381</v>
      </c>
      <c r="H20" s="31">
        <f t="shared" si="0"/>
        <v>3146618</v>
      </c>
      <c r="I20" s="4"/>
      <c r="J20" s="35">
        <f t="shared" si="1"/>
        <v>0.48125338673289303</v>
      </c>
      <c r="K20" s="4"/>
      <c r="L20" s="17"/>
      <c r="M20" s="38"/>
      <c r="N20" s="4"/>
      <c r="O20" s="4"/>
      <c r="P20" s="4"/>
      <c r="Q20" s="4"/>
      <c r="R20" s="4"/>
      <c r="S20" s="4"/>
      <c r="T20" s="4"/>
      <c r="U20" s="4"/>
    </row>
    <row r="21" spans="1:21" x14ac:dyDescent="0.3">
      <c r="A21" s="4">
        <v>125</v>
      </c>
      <c r="B21" s="4"/>
      <c r="C21" s="4">
        <v>412</v>
      </c>
      <c r="D21" s="4" t="s">
        <v>26</v>
      </c>
      <c r="E21" s="31">
        <v>0</v>
      </c>
      <c r="F21" s="31">
        <v>465413</v>
      </c>
      <c r="G21" s="31">
        <v>412849</v>
      </c>
      <c r="H21" s="31">
        <f t="shared" si="0"/>
        <v>52564</v>
      </c>
      <c r="I21" s="4"/>
      <c r="J21" s="35">
        <f t="shared" si="1"/>
        <v>0.12732015821765344</v>
      </c>
      <c r="K21" s="4"/>
      <c r="L21" s="17"/>
      <c r="M21" s="38"/>
      <c r="N21" s="4"/>
      <c r="O21" s="4"/>
      <c r="P21" s="4"/>
      <c r="Q21" s="4"/>
      <c r="R21" s="4"/>
      <c r="S21" s="4"/>
      <c r="T21" s="4"/>
      <c r="U21" s="4"/>
    </row>
    <row r="22" spans="1:21" x14ac:dyDescent="0.3">
      <c r="A22" s="4">
        <v>125</v>
      </c>
      <c r="B22" s="4"/>
      <c r="C22" s="4">
        <v>413</v>
      </c>
      <c r="D22" s="4" t="s">
        <v>27</v>
      </c>
      <c r="E22" s="31">
        <v>0</v>
      </c>
      <c r="F22" s="31">
        <v>37000</v>
      </c>
      <c r="G22" s="31">
        <v>38250</v>
      </c>
      <c r="H22" s="31">
        <f t="shared" si="0"/>
        <v>-1250</v>
      </c>
      <c r="I22" s="4"/>
      <c r="J22" s="35">
        <f t="shared" si="1"/>
        <v>-3.2679738562091505E-2</v>
      </c>
      <c r="K22" s="4"/>
      <c r="L22" s="17"/>
      <c r="M22" s="38"/>
      <c r="N22" s="4"/>
      <c r="O22" s="4"/>
      <c r="P22" s="4"/>
      <c r="Q22" s="4"/>
      <c r="R22" s="4"/>
      <c r="S22" s="4"/>
      <c r="T22" s="4"/>
      <c r="U22" s="4"/>
    </row>
    <row r="23" spans="1:21" x14ac:dyDescent="0.3">
      <c r="A23" s="4">
        <v>125</v>
      </c>
      <c r="B23" s="4"/>
      <c r="C23" s="4">
        <v>414</v>
      </c>
      <c r="D23" s="4" t="s">
        <v>28</v>
      </c>
      <c r="E23" s="31">
        <v>0</v>
      </c>
      <c r="F23" s="31">
        <v>10000</v>
      </c>
      <c r="G23" s="31">
        <v>10000</v>
      </c>
      <c r="H23" s="31">
        <f t="shared" si="0"/>
        <v>0</v>
      </c>
      <c r="I23" s="4"/>
      <c r="J23" s="35">
        <f t="shared" si="1"/>
        <v>0</v>
      </c>
      <c r="K23" s="4"/>
      <c r="L23" s="17"/>
      <c r="M23" s="38"/>
      <c r="N23" s="4"/>
      <c r="O23" s="4"/>
      <c r="P23" s="4"/>
      <c r="Q23" s="4"/>
      <c r="R23" s="4"/>
      <c r="S23" s="4"/>
      <c r="T23" s="4"/>
      <c r="U23" s="4"/>
    </row>
    <row r="24" spans="1:21" x14ac:dyDescent="0.3">
      <c r="A24" s="4">
        <v>125</v>
      </c>
      <c r="B24" s="4"/>
      <c r="C24" s="4">
        <v>415</v>
      </c>
      <c r="D24" s="4" t="s">
        <v>29</v>
      </c>
      <c r="E24" s="31">
        <v>0</v>
      </c>
      <c r="F24" s="31">
        <v>12000</v>
      </c>
      <c r="G24" s="31">
        <v>10000</v>
      </c>
      <c r="H24" s="31">
        <f t="shared" si="0"/>
        <v>2000</v>
      </c>
      <c r="I24" s="4"/>
      <c r="J24" s="35">
        <f t="shared" si="1"/>
        <v>0.2</v>
      </c>
      <c r="K24" s="4"/>
      <c r="L24" s="17"/>
      <c r="M24" s="38"/>
      <c r="N24" s="4"/>
      <c r="O24" s="4"/>
      <c r="P24" s="4"/>
      <c r="Q24" s="4"/>
      <c r="R24" s="4"/>
      <c r="S24" s="4"/>
      <c r="T24" s="4"/>
      <c r="U24" s="4"/>
    </row>
    <row r="25" spans="1:21" x14ac:dyDescent="0.3">
      <c r="A25" s="4">
        <v>125</v>
      </c>
      <c r="B25" s="4"/>
      <c r="C25" s="4">
        <v>416</v>
      </c>
      <c r="D25" s="4" t="s">
        <v>30</v>
      </c>
      <c r="E25" s="31">
        <v>0</v>
      </c>
      <c r="F25" s="31">
        <v>1820864</v>
      </c>
      <c r="G25" s="31">
        <v>1701759</v>
      </c>
      <c r="H25" s="31">
        <f t="shared" si="0"/>
        <v>119105</v>
      </c>
      <c r="I25" s="4"/>
      <c r="J25" s="35">
        <f t="shared" si="1"/>
        <v>6.9989346317545553E-2</v>
      </c>
      <c r="K25" s="4"/>
      <c r="L25" s="17"/>
      <c r="M25" s="38"/>
      <c r="N25" s="4"/>
      <c r="O25" s="4"/>
      <c r="P25" s="4"/>
      <c r="Q25" s="4"/>
      <c r="R25" s="4"/>
      <c r="S25" s="4"/>
      <c r="T25" s="4"/>
      <c r="U25" s="4"/>
    </row>
    <row r="26" spans="1:21" x14ac:dyDescent="0.3">
      <c r="A26" s="4">
        <v>125</v>
      </c>
      <c r="B26" s="4"/>
      <c r="C26" s="4">
        <v>417</v>
      </c>
      <c r="D26" s="4" t="s">
        <v>31</v>
      </c>
      <c r="E26" s="31">
        <v>0</v>
      </c>
      <c r="F26" s="31">
        <v>489751</v>
      </c>
      <c r="G26" s="31">
        <v>460950</v>
      </c>
      <c r="H26" s="31">
        <f t="shared" si="0"/>
        <v>28801</v>
      </c>
      <c r="I26" s="4"/>
      <c r="J26" s="35">
        <f t="shared" si="1"/>
        <v>6.2481831001193186E-2</v>
      </c>
      <c r="K26" s="4"/>
      <c r="L26" s="17"/>
      <c r="M26" s="38"/>
      <c r="N26" s="4"/>
      <c r="O26" s="4"/>
      <c r="P26" s="4"/>
      <c r="Q26" s="4"/>
      <c r="R26" s="4"/>
      <c r="S26" s="4"/>
      <c r="T26" s="4"/>
      <c r="U26" s="4"/>
    </row>
    <row r="27" spans="1:21" x14ac:dyDescent="0.3">
      <c r="A27" s="4">
        <v>125</v>
      </c>
      <c r="B27" s="4"/>
      <c r="C27" s="4">
        <v>418</v>
      </c>
      <c r="D27" s="4" t="s">
        <v>32</v>
      </c>
      <c r="E27" s="31">
        <v>0</v>
      </c>
      <c r="F27" s="31">
        <f>300719+1500</f>
        <v>302219</v>
      </c>
      <c r="G27" s="31">
        <v>276182</v>
      </c>
      <c r="H27" s="31">
        <f t="shared" si="0"/>
        <v>26037</v>
      </c>
      <c r="I27" s="4"/>
      <c r="J27" s="35">
        <f t="shared" si="1"/>
        <v>9.4274789812514942E-2</v>
      </c>
      <c r="K27" s="4"/>
      <c r="L27" s="41">
        <v>1500</v>
      </c>
      <c r="M27" s="38" t="s">
        <v>751</v>
      </c>
      <c r="N27" s="4" t="s">
        <v>763</v>
      </c>
      <c r="O27" s="4"/>
      <c r="P27" s="4"/>
      <c r="Q27" s="4"/>
      <c r="R27" s="4"/>
      <c r="S27" s="4"/>
      <c r="T27" s="4"/>
      <c r="U27" s="4"/>
    </row>
    <row r="28" spans="1:21" x14ac:dyDescent="0.3">
      <c r="A28" s="4">
        <v>125</v>
      </c>
      <c r="B28" s="4"/>
      <c r="C28" s="4">
        <v>419</v>
      </c>
      <c r="D28" s="4" t="s">
        <v>33</v>
      </c>
      <c r="E28" s="31">
        <v>0</v>
      </c>
      <c r="F28" s="31">
        <f>241289+6500</f>
        <v>247789</v>
      </c>
      <c r="G28" s="31">
        <v>225457</v>
      </c>
      <c r="H28" s="31">
        <f t="shared" si="0"/>
        <v>22332</v>
      </c>
      <c r="I28" s="4"/>
      <c r="J28" s="35">
        <f t="shared" si="1"/>
        <v>9.9052147416137007E-2</v>
      </c>
      <c r="K28" s="4"/>
      <c r="L28" s="41">
        <v>6500</v>
      </c>
      <c r="M28" s="38" t="s">
        <v>752</v>
      </c>
      <c r="N28" s="4" t="s">
        <v>764</v>
      </c>
      <c r="O28" s="4"/>
      <c r="P28" s="4"/>
      <c r="Q28" s="4"/>
      <c r="R28" s="4"/>
      <c r="S28" s="4"/>
      <c r="T28" s="4"/>
      <c r="U28" s="4"/>
    </row>
    <row r="29" spans="1:21" x14ac:dyDescent="0.3">
      <c r="A29" s="4">
        <v>125</v>
      </c>
      <c r="B29" s="4"/>
      <c r="C29" s="4">
        <v>420</v>
      </c>
      <c r="D29" s="4" t="s">
        <v>34</v>
      </c>
      <c r="E29" s="31">
        <v>0</v>
      </c>
      <c r="F29" s="31">
        <f>251407+3000</f>
        <v>254407</v>
      </c>
      <c r="G29" s="31">
        <v>236880</v>
      </c>
      <c r="H29" s="31">
        <f t="shared" si="0"/>
        <v>17527</v>
      </c>
      <c r="I29" s="4"/>
      <c r="J29" s="35">
        <f t="shared" si="1"/>
        <v>7.3991050320837554E-2</v>
      </c>
      <c r="K29" s="4"/>
      <c r="L29" s="41">
        <v>3000</v>
      </c>
      <c r="M29" s="38" t="s">
        <v>753</v>
      </c>
      <c r="N29" s="4" t="s">
        <v>765</v>
      </c>
      <c r="O29" s="4"/>
      <c r="P29" s="4"/>
      <c r="Q29" s="4"/>
      <c r="R29" s="4"/>
      <c r="S29" s="4"/>
      <c r="T29" s="4"/>
      <c r="U29" s="4"/>
    </row>
    <row r="30" spans="1:21" x14ac:dyDescent="0.3">
      <c r="A30" s="4">
        <v>125</v>
      </c>
      <c r="B30" s="4"/>
      <c r="C30" s="4">
        <v>421</v>
      </c>
      <c r="D30" s="4" t="s">
        <v>35</v>
      </c>
      <c r="E30" s="31">
        <v>0</v>
      </c>
      <c r="F30" s="31">
        <f>384802+6500</f>
        <v>391302</v>
      </c>
      <c r="G30" s="31">
        <v>361528</v>
      </c>
      <c r="H30" s="31">
        <f t="shared" si="0"/>
        <v>29774</v>
      </c>
      <c r="I30" s="4"/>
      <c r="J30" s="35">
        <f t="shared" si="1"/>
        <v>8.2356000088513195E-2</v>
      </c>
      <c r="K30" s="4"/>
      <c r="L30" s="41">
        <v>6500</v>
      </c>
      <c r="M30" s="38" t="s">
        <v>754</v>
      </c>
      <c r="N30" s="4" t="s">
        <v>766</v>
      </c>
      <c r="O30" s="4"/>
      <c r="P30" s="4"/>
      <c r="Q30" s="4"/>
      <c r="R30" s="4"/>
      <c r="S30" s="4"/>
      <c r="T30" s="4"/>
      <c r="U30" s="4"/>
    </row>
    <row r="31" spans="1:21" x14ac:dyDescent="0.3">
      <c r="A31" s="4">
        <v>125</v>
      </c>
      <c r="B31" s="4"/>
      <c r="C31" s="4">
        <v>422</v>
      </c>
      <c r="D31" s="4" t="s">
        <v>36</v>
      </c>
      <c r="E31" s="31">
        <v>0</v>
      </c>
      <c r="F31" s="31">
        <v>913000</v>
      </c>
      <c r="G31" s="31">
        <v>829500</v>
      </c>
      <c r="H31" s="31">
        <f t="shared" si="0"/>
        <v>83500</v>
      </c>
      <c r="I31" s="4"/>
      <c r="J31" s="35">
        <f t="shared" si="1"/>
        <v>0.10066305003013863</v>
      </c>
      <c r="K31" s="4"/>
      <c r="L31" s="41">
        <v>-17500</v>
      </c>
      <c r="M31" s="38" t="s">
        <v>478</v>
      </c>
      <c r="N31" s="4" t="s">
        <v>767</v>
      </c>
      <c r="O31" s="4"/>
      <c r="P31" s="4"/>
      <c r="Q31" s="4"/>
      <c r="R31" s="4"/>
      <c r="S31" s="4"/>
      <c r="T31" s="4"/>
      <c r="U31" s="4"/>
    </row>
    <row r="32" spans="1:21" x14ac:dyDescent="0.3">
      <c r="A32" s="4">
        <v>125</v>
      </c>
      <c r="B32" s="4"/>
      <c r="C32" s="4">
        <v>423</v>
      </c>
      <c r="D32" s="4" t="s">
        <v>37</v>
      </c>
      <c r="E32" s="31">
        <v>0</v>
      </c>
      <c r="F32" s="31">
        <v>170000</v>
      </c>
      <c r="G32" s="31">
        <v>140000</v>
      </c>
      <c r="H32" s="31">
        <f t="shared" si="0"/>
        <v>30000</v>
      </c>
      <c r="I32" s="4"/>
      <c r="J32" s="35">
        <f t="shared" si="1"/>
        <v>0.21428571428571427</v>
      </c>
      <c r="K32" s="4"/>
      <c r="L32" s="41"/>
      <c r="M32" s="38"/>
      <c r="N32" s="4"/>
      <c r="O32" s="4"/>
      <c r="P32" s="4"/>
      <c r="Q32" s="4"/>
      <c r="R32" s="4"/>
      <c r="S32" s="4"/>
      <c r="T32" s="4"/>
      <c r="U32" s="4"/>
    </row>
    <row r="33" spans="1:21" x14ac:dyDescent="0.3">
      <c r="A33" s="4">
        <v>125</v>
      </c>
      <c r="B33" s="4"/>
      <c r="C33" s="4">
        <v>434</v>
      </c>
      <c r="D33" s="4" t="s">
        <v>509</v>
      </c>
      <c r="E33" s="31">
        <v>0</v>
      </c>
      <c r="F33" s="31">
        <v>574612</v>
      </c>
      <c r="G33" s="31">
        <v>550935</v>
      </c>
      <c r="H33" s="31">
        <f t="shared" si="0"/>
        <v>23677</v>
      </c>
      <c r="I33" s="4"/>
      <c r="J33" s="35">
        <f t="shared" si="1"/>
        <v>4.2976031655276942E-2</v>
      </c>
      <c r="K33" s="4"/>
      <c r="L33" s="41">
        <v>4000</v>
      </c>
      <c r="M33" s="38" t="s">
        <v>756</v>
      </c>
      <c r="N33" s="4" t="s">
        <v>762</v>
      </c>
      <c r="O33" s="4"/>
      <c r="P33" s="4"/>
      <c r="Q33" s="4"/>
      <c r="R33" s="4"/>
      <c r="S33" s="4"/>
      <c r="T33" s="4"/>
      <c r="U33" s="4"/>
    </row>
    <row r="34" spans="1:21" x14ac:dyDescent="0.3">
      <c r="A34" s="4">
        <v>125</v>
      </c>
      <c r="B34" s="4"/>
      <c r="C34" s="4">
        <v>435</v>
      </c>
      <c r="D34" s="4" t="s">
        <v>38</v>
      </c>
      <c r="E34" s="31">
        <v>0</v>
      </c>
      <c r="F34" s="31">
        <f>473399+5100</f>
        <v>478499</v>
      </c>
      <c r="G34" s="31">
        <v>448561</v>
      </c>
      <c r="H34" s="31">
        <f t="shared" si="0"/>
        <v>29938</v>
      </c>
      <c r="I34" s="4"/>
      <c r="J34" s="35">
        <f t="shared" si="1"/>
        <v>6.6742315983779235E-2</v>
      </c>
      <c r="K34" s="4"/>
      <c r="L34" s="41">
        <v>9500</v>
      </c>
      <c r="M34" s="38" t="s">
        <v>755</v>
      </c>
      <c r="N34" s="4" t="s">
        <v>761</v>
      </c>
      <c r="O34" s="4"/>
      <c r="P34" s="4"/>
      <c r="Q34" s="4"/>
      <c r="R34" s="4"/>
      <c r="S34" s="4"/>
      <c r="T34" s="4"/>
      <c r="U34" s="4"/>
    </row>
    <row r="35" spans="1:21" x14ac:dyDescent="0.3">
      <c r="A35" s="4">
        <v>125</v>
      </c>
      <c r="B35" s="4"/>
      <c r="C35" s="4">
        <v>436</v>
      </c>
      <c r="D35" s="4" t="s">
        <v>39</v>
      </c>
      <c r="E35" s="31">
        <v>0</v>
      </c>
      <c r="F35" s="31">
        <v>357262</v>
      </c>
      <c r="G35" s="31">
        <v>335332</v>
      </c>
      <c r="H35" s="31">
        <f t="shared" si="0"/>
        <v>21930</v>
      </c>
      <c r="I35" s="4"/>
      <c r="J35" s="35">
        <f t="shared" si="1"/>
        <v>6.5397874345424836E-2</v>
      </c>
      <c r="K35" s="4"/>
      <c r="L35" s="41">
        <v>3351</v>
      </c>
      <c r="M35" s="38" t="s">
        <v>757</v>
      </c>
      <c r="N35" s="4" t="s">
        <v>758</v>
      </c>
      <c r="O35" s="4"/>
      <c r="P35" s="4"/>
      <c r="Q35" s="4"/>
      <c r="R35" s="4"/>
      <c r="S35" s="4"/>
      <c r="T35" s="4"/>
      <c r="U35" s="4"/>
    </row>
    <row r="36" spans="1:21" x14ac:dyDescent="0.3">
      <c r="A36" s="4">
        <v>125</v>
      </c>
      <c r="B36" s="4"/>
      <c r="C36" s="4">
        <v>437</v>
      </c>
      <c r="D36" s="4" t="s">
        <v>40</v>
      </c>
      <c r="E36" s="31">
        <v>0</v>
      </c>
      <c r="F36" s="31">
        <v>654462</v>
      </c>
      <c r="G36" s="31">
        <v>628010</v>
      </c>
      <c r="H36" s="31">
        <f t="shared" si="0"/>
        <v>26452</v>
      </c>
      <c r="I36" s="4"/>
      <c r="J36" s="35">
        <f t="shared" si="1"/>
        <v>4.2120348402095505E-2</v>
      </c>
      <c r="K36" s="4"/>
      <c r="L36" s="41">
        <v>3351</v>
      </c>
      <c r="M36" s="17" t="s">
        <v>768</v>
      </c>
      <c r="N36" s="4" t="s">
        <v>769</v>
      </c>
      <c r="O36" s="4"/>
      <c r="P36" s="4"/>
      <c r="Q36" s="4"/>
      <c r="R36" s="4"/>
      <c r="S36" s="4"/>
      <c r="T36" s="4"/>
      <c r="U36" s="4"/>
    </row>
    <row r="37" spans="1:21" x14ac:dyDescent="0.3">
      <c r="A37" s="4">
        <v>125</v>
      </c>
      <c r="B37" s="4"/>
      <c r="C37" s="4">
        <v>438</v>
      </c>
      <c r="D37" s="4" t="s">
        <v>41</v>
      </c>
      <c r="E37" s="31">
        <v>0</v>
      </c>
      <c r="F37" s="31">
        <v>711877</v>
      </c>
      <c r="G37" s="31">
        <v>666311</v>
      </c>
      <c r="H37" s="31">
        <f t="shared" si="0"/>
        <v>45566</v>
      </c>
      <c r="I37" s="4"/>
      <c r="J37" s="35">
        <f t="shared" si="1"/>
        <v>6.8385483655530224E-2</v>
      </c>
      <c r="K37" s="4"/>
      <c r="L37" s="41">
        <v>-3351</v>
      </c>
      <c r="M37" s="38" t="s">
        <v>138</v>
      </c>
      <c r="N37" s="4" t="s">
        <v>759</v>
      </c>
      <c r="O37" s="4"/>
      <c r="P37" s="4"/>
      <c r="Q37" s="4"/>
      <c r="R37" s="4"/>
      <c r="S37" s="4"/>
      <c r="T37" s="4"/>
      <c r="U37" s="4"/>
    </row>
    <row r="38" spans="1:21" x14ac:dyDescent="0.3">
      <c r="A38" s="4">
        <v>125</v>
      </c>
      <c r="B38" s="4"/>
      <c r="C38" s="4">
        <v>440</v>
      </c>
      <c r="D38" s="4" t="s">
        <v>42</v>
      </c>
      <c r="E38" s="31">
        <v>0</v>
      </c>
      <c r="F38" s="31">
        <v>312059</v>
      </c>
      <c r="G38" s="31">
        <v>297006</v>
      </c>
      <c r="H38" s="31">
        <f t="shared" si="0"/>
        <v>15053</v>
      </c>
      <c r="I38" s="4"/>
      <c r="J38" s="35">
        <f t="shared" si="1"/>
        <v>5.0682477795061381E-2</v>
      </c>
      <c r="K38" s="4"/>
      <c r="L38" s="41">
        <v>-16851</v>
      </c>
      <c r="M38" s="38" t="s">
        <v>740</v>
      </c>
      <c r="N38" s="4" t="s">
        <v>760</v>
      </c>
      <c r="O38" s="4"/>
      <c r="P38" s="4"/>
      <c r="Q38" s="4"/>
      <c r="R38" s="4"/>
      <c r="S38" s="4"/>
      <c r="T38" s="4"/>
      <c r="U38" s="4"/>
    </row>
    <row r="39" spans="1:21" x14ac:dyDescent="0.3">
      <c r="A39" s="4">
        <v>125</v>
      </c>
      <c r="B39" s="4"/>
      <c r="C39" s="4">
        <v>441</v>
      </c>
      <c r="D39" s="4" t="s">
        <v>43</v>
      </c>
      <c r="E39" s="31">
        <v>0</v>
      </c>
      <c r="F39" s="31">
        <v>387250</v>
      </c>
      <c r="G39" s="31">
        <v>319350</v>
      </c>
      <c r="H39" s="31">
        <f t="shared" si="0"/>
        <v>67900</v>
      </c>
      <c r="I39" s="4"/>
      <c r="J39" s="35">
        <f t="shared" si="1"/>
        <v>0.21261938312196649</v>
      </c>
      <c r="K39" s="4"/>
      <c r="L39" s="41"/>
      <c r="M39" s="38"/>
      <c r="N39" s="4"/>
      <c r="O39" s="4"/>
      <c r="P39" s="4"/>
      <c r="Q39" s="4"/>
      <c r="R39" s="4"/>
      <c r="S39" s="4"/>
      <c r="T39" s="4"/>
      <c r="U39" s="4"/>
    </row>
    <row r="40" spans="1:21" x14ac:dyDescent="0.3">
      <c r="A40" s="4">
        <v>125</v>
      </c>
      <c r="B40" s="4"/>
      <c r="C40" s="4">
        <v>442</v>
      </c>
      <c r="D40" s="4" t="s">
        <v>44</v>
      </c>
      <c r="E40" s="31">
        <v>0</v>
      </c>
      <c r="F40" s="31">
        <v>1184258</v>
      </c>
      <c r="G40" s="31">
        <v>975943</v>
      </c>
      <c r="H40" s="31">
        <f t="shared" si="0"/>
        <v>208315</v>
      </c>
      <c r="I40" s="4"/>
      <c r="J40" s="35">
        <f t="shared" si="1"/>
        <v>0.21344996582792233</v>
      </c>
      <c r="K40" s="4"/>
      <c r="L40" s="41"/>
      <c r="M40" s="38"/>
      <c r="N40" s="4"/>
      <c r="O40" s="4"/>
      <c r="P40" s="4"/>
      <c r="Q40" s="4"/>
      <c r="R40" s="4"/>
      <c r="S40" s="4"/>
      <c r="T40" s="4"/>
      <c r="U40" s="4"/>
    </row>
    <row r="41" spans="1:21" x14ac:dyDescent="0.3">
      <c r="A41" s="4">
        <v>125</v>
      </c>
      <c r="B41" s="4"/>
      <c r="C41" s="4">
        <v>443</v>
      </c>
      <c r="D41" s="4" t="s">
        <v>574</v>
      </c>
      <c r="E41" s="31"/>
      <c r="F41" s="31">
        <v>539912</v>
      </c>
      <c r="G41" s="31">
        <v>494123</v>
      </c>
      <c r="H41" s="31">
        <f t="shared" si="0"/>
        <v>45789</v>
      </c>
      <c r="I41" s="4"/>
      <c r="J41" s="35">
        <f t="shared" si="1"/>
        <v>9.2667210390935048E-2</v>
      </c>
      <c r="K41" s="4"/>
      <c r="L41" s="17"/>
      <c r="M41" s="38"/>
      <c r="N41" s="4"/>
      <c r="O41" s="4"/>
      <c r="P41" s="4"/>
      <c r="Q41" s="4"/>
      <c r="R41" s="4"/>
      <c r="S41" s="4"/>
      <c r="T41" s="4"/>
      <c r="U41" s="4"/>
    </row>
    <row r="42" spans="1:21" x14ac:dyDescent="0.3">
      <c r="A42" s="4">
        <v>125</v>
      </c>
      <c r="B42" s="4"/>
      <c r="C42" s="4">
        <v>505</v>
      </c>
      <c r="D42" s="4" t="s">
        <v>45</v>
      </c>
      <c r="E42" s="31">
        <v>0</v>
      </c>
      <c r="F42" s="31">
        <v>3270231</v>
      </c>
      <c r="G42" s="31">
        <v>3024374</v>
      </c>
      <c r="H42" s="31">
        <f t="shared" si="0"/>
        <v>245857</v>
      </c>
      <c r="I42" s="4"/>
      <c r="J42" s="35">
        <f t="shared" si="1"/>
        <v>8.1291864035334255E-2</v>
      </c>
      <c r="K42" s="38"/>
      <c r="L42" s="17"/>
      <c r="M42" s="38"/>
      <c r="N42" s="4"/>
      <c r="O42" s="4"/>
      <c r="P42" s="4"/>
      <c r="Q42" s="4"/>
      <c r="R42" s="4"/>
      <c r="S42" s="4"/>
      <c r="T42" s="4"/>
      <c r="U42" s="4"/>
    </row>
    <row r="43" spans="1:21" x14ac:dyDescent="0.3">
      <c r="A43" s="4">
        <v>125</v>
      </c>
      <c r="B43" s="4"/>
      <c r="C43" s="4">
        <v>506</v>
      </c>
      <c r="D43" s="4" t="s">
        <v>46</v>
      </c>
      <c r="E43" s="31">
        <v>0</v>
      </c>
      <c r="F43" s="31">
        <f>298455+4000+9200</f>
        <v>311655</v>
      </c>
      <c r="G43" s="31">
        <v>242425</v>
      </c>
      <c r="H43" s="31">
        <f t="shared" si="0"/>
        <v>69230</v>
      </c>
      <c r="I43" s="4"/>
      <c r="J43" s="35">
        <f t="shared" si="1"/>
        <v>0.28557285758482004</v>
      </c>
      <c r="K43" s="4"/>
      <c r="L43" s="17"/>
      <c r="M43" s="38"/>
      <c r="N43" s="4"/>
      <c r="O43" s="4"/>
      <c r="P43" s="4"/>
      <c r="Q43" s="4"/>
      <c r="R43" s="4"/>
      <c r="S43" s="4"/>
      <c r="T43" s="4"/>
      <c r="U43" s="4"/>
    </row>
    <row r="44" spans="1:21" x14ac:dyDescent="0.3">
      <c r="A44" s="4">
        <v>125</v>
      </c>
      <c r="B44" s="4"/>
      <c r="C44" s="4">
        <v>507</v>
      </c>
      <c r="D44" s="4" t="s">
        <v>47</v>
      </c>
      <c r="E44" s="31">
        <v>0</v>
      </c>
      <c r="F44" s="31">
        <v>194500</v>
      </c>
      <c r="G44" s="31">
        <f>123421-46421</f>
        <v>77000</v>
      </c>
      <c r="H44" s="31">
        <f t="shared" si="0"/>
        <v>117500</v>
      </c>
      <c r="I44" s="4"/>
      <c r="J44" s="35">
        <f t="shared" si="1"/>
        <v>1.525974025974026</v>
      </c>
      <c r="K44" s="4"/>
      <c r="L44" s="17"/>
      <c r="M44" s="38"/>
      <c r="N44" s="4"/>
      <c r="O44" s="4"/>
      <c r="P44" s="4"/>
      <c r="Q44" s="4"/>
      <c r="R44" s="4"/>
      <c r="S44" s="4"/>
      <c r="T44" s="4"/>
      <c r="U44" s="4"/>
    </row>
    <row r="45" spans="1:21" x14ac:dyDescent="0.3">
      <c r="A45" s="4">
        <v>125</v>
      </c>
      <c r="B45" s="4"/>
      <c r="C45" s="4">
        <v>509</v>
      </c>
      <c r="D45" s="4" t="s">
        <v>48</v>
      </c>
      <c r="E45" s="31">
        <v>0</v>
      </c>
      <c r="F45" s="31">
        <v>536049</v>
      </c>
      <c r="G45" s="31">
        <v>375782</v>
      </c>
      <c r="H45" s="31">
        <f t="shared" si="0"/>
        <v>160267</v>
      </c>
      <c r="I45" s="4"/>
      <c r="J45" s="35">
        <f t="shared" si="1"/>
        <v>0.42648929432490112</v>
      </c>
      <c r="K45" s="4"/>
      <c r="L45" s="17"/>
      <c r="M45" s="38"/>
      <c r="N45" s="4"/>
      <c r="O45" s="4"/>
      <c r="P45" s="4"/>
      <c r="Q45" s="4"/>
      <c r="R45" s="4"/>
      <c r="S45" s="4"/>
      <c r="T45" s="4"/>
      <c r="U45" s="4"/>
    </row>
    <row r="46" spans="1:21" x14ac:dyDescent="0.3">
      <c r="A46" s="4">
        <v>125</v>
      </c>
      <c r="B46" s="4"/>
      <c r="C46" s="4">
        <v>510</v>
      </c>
      <c r="D46" s="4" t="s">
        <v>49</v>
      </c>
      <c r="E46" s="31">
        <v>0</v>
      </c>
      <c r="F46" s="31">
        <v>360850</v>
      </c>
      <c r="G46" s="31">
        <v>339677</v>
      </c>
      <c r="H46" s="31">
        <f t="shared" si="0"/>
        <v>21173</v>
      </c>
      <c r="I46" s="4"/>
      <c r="J46" s="35">
        <f t="shared" si="1"/>
        <v>6.2332745520008712E-2</v>
      </c>
      <c r="K46" s="38"/>
      <c r="L46" s="17"/>
      <c r="M46" s="38"/>
      <c r="N46" s="4"/>
      <c r="O46" s="4"/>
      <c r="P46" s="4"/>
      <c r="Q46" s="4"/>
      <c r="R46" s="4"/>
      <c r="S46" s="4"/>
      <c r="T46" s="4"/>
      <c r="U46" s="4"/>
    </row>
    <row r="47" spans="1:21" x14ac:dyDescent="0.3">
      <c r="A47" s="4">
        <v>125</v>
      </c>
      <c r="B47" s="4"/>
      <c r="C47" s="4">
        <v>511</v>
      </c>
      <c r="D47" s="4" t="s">
        <v>50</v>
      </c>
      <c r="E47" s="31">
        <v>0</v>
      </c>
      <c r="F47" s="31">
        <v>150848</v>
      </c>
      <c r="G47" s="31">
        <f>91094-4892-202</f>
        <v>86000</v>
      </c>
      <c r="H47" s="31">
        <f t="shared" si="0"/>
        <v>64848</v>
      </c>
      <c r="I47" s="4"/>
      <c r="J47" s="35">
        <f t="shared" si="1"/>
        <v>0.75404651162790692</v>
      </c>
      <c r="K47" s="4"/>
      <c r="L47" s="17"/>
      <c r="M47" s="38"/>
      <c r="N47" s="4"/>
      <c r="O47" s="4"/>
      <c r="P47" s="4"/>
      <c r="Q47" s="4"/>
      <c r="R47" s="4"/>
      <c r="S47" s="4"/>
      <c r="T47" s="4"/>
      <c r="U47" s="4"/>
    </row>
    <row r="48" spans="1:21" x14ac:dyDescent="0.3">
      <c r="A48" s="4">
        <v>125</v>
      </c>
      <c r="B48" s="4"/>
      <c r="C48" s="4">
        <v>512</v>
      </c>
      <c r="D48" s="4" t="s">
        <v>51</v>
      </c>
      <c r="E48" s="31">
        <v>0</v>
      </c>
      <c r="F48" s="31">
        <v>163107</v>
      </c>
      <c r="G48" s="31">
        <f>112944-1812-11753</f>
        <v>99379</v>
      </c>
      <c r="H48" s="31">
        <f t="shared" ref="H48:H65" si="2">+F48-G48</f>
        <v>63728</v>
      </c>
      <c r="I48" s="4"/>
      <c r="J48" s="35">
        <f t="shared" ref="J48:J66" si="3">+H48/G48</f>
        <v>0.64126223850109176</v>
      </c>
      <c r="K48" s="4"/>
      <c r="L48" s="17"/>
      <c r="M48" s="38"/>
      <c r="N48" s="4"/>
      <c r="O48" s="4"/>
      <c r="P48" s="4"/>
      <c r="Q48" s="4"/>
      <c r="R48" s="4"/>
      <c r="S48" s="4"/>
      <c r="T48" s="4"/>
      <c r="U48" s="4"/>
    </row>
    <row r="49" spans="1:21" x14ac:dyDescent="0.3">
      <c r="A49" s="4">
        <v>125</v>
      </c>
      <c r="B49" s="4"/>
      <c r="C49" s="4">
        <v>513</v>
      </c>
      <c r="D49" s="4" t="s">
        <v>52</v>
      </c>
      <c r="E49" s="31">
        <v>0</v>
      </c>
      <c r="F49" s="31">
        <v>158704</v>
      </c>
      <c r="G49" s="31">
        <f>97318-2404</f>
        <v>94914</v>
      </c>
      <c r="H49" s="31">
        <f t="shared" si="2"/>
        <v>63790</v>
      </c>
      <c r="I49" s="4"/>
      <c r="J49" s="35">
        <f t="shared" si="3"/>
        <v>0.67208209537054597</v>
      </c>
      <c r="K49" s="4" t="s">
        <v>541</v>
      </c>
      <c r="L49" s="17"/>
      <c r="M49" s="38"/>
      <c r="N49" s="4"/>
      <c r="O49" s="4"/>
      <c r="P49" s="4"/>
      <c r="Q49" s="4"/>
      <c r="R49" s="4"/>
      <c r="S49" s="4"/>
      <c r="T49" s="4"/>
      <c r="U49" s="4"/>
    </row>
    <row r="50" spans="1:21" x14ac:dyDescent="0.3">
      <c r="A50" s="4">
        <v>125</v>
      </c>
      <c r="B50" s="4"/>
      <c r="C50" s="4">
        <v>514</v>
      </c>
      <c r="D50" s="4" t="s">
        <v>53</v>
      </c>
      <c r="E50" s="31">
        <v>0</v>
      </c>
      <c r="F50" s="31">
        <v>172533</v>
      </c>
      <c r="G50" s="31">
        <f>112811-8371</f>
        <v>104440</v>
      </c>
      <c r="H50" s="31">
        <f t="shared" si="2"/>
        <v>68093</v>
      </c>
      <c r="I50" s="4"/>
      <c r="J50" s="35">
        <f t="shared" si="3"/>
        <v>0.65198199923401001</v>
      </c>
      <c r="K50" s="38"/>
      <c r="L50" s="17"/>
      <c r="M50" s="38"/>
      <c r="N50" s="4"/>
      <c r="O50" s="4"/>
      <c r="P50" s="4"/>
      <c r="Q50" s="4"/>
      <c r="R50" s="4"/>
      <c r="S50" s="4"/>
      <c r="T50" s="4"/>
      <c r="U50" s="4"/>
    </row>
    <row r="51" spans="1:21" x14ac:dyDescent="0.3">
      <c r="A51" s="4">
        <v>125</v>
      </c>
      <c r="B51" s="4"/>
      <c r="C51" s="4">
        <v>515</v>
      </c>
      <c r="D51" s="4" t="s">
        <v>54</v>
      </c>
      <c r="E51" s="31">
        <v>0</v>
      </c>
      <c r="F51" s="31">
        <v>222039</v>
      </c>
      <c r="G51" s="31">
        <f>168419-1450</f>
        <v>166969</v>
      </c>
      <c r="H51" s="31">
        <f t="shared" si="2"/>
        <v>55070</v>
      </c>
      <c r="I51" s="4"/>
      <c r="J51" s="35">
        <f t="shared" si="3"/>
        <v>0.32982170342997802</v>
      </c>
      <c r="K51" s="4"/>
      <c r="L51" s="17"/>
      <c r="M51" s="38"/>
      <c r="N51" s="4"/>
      <c r="O51" s="4"/>
      <c r="P51" s="4"/>
      <c r="Q51" s="4"/>
      <c r="R51" s="4"/>
      <c r="S51" s="4"/>
      <c r="T51" s="4"/>
      <c r="U51" s="4"/>
    </row>
    <row r="52" spans="1:21" x14ac:dyDescent="0.3">
      <c r="A52" s="4">
        <v>125</v>
      </c>
      <c r="B52" s="4"/>
      <c r="C52" s="4">
        <v>516</v>
      </c>
      <c r="D52" s="4" t="s">
        <v>55</v>
      </c>
      <c r="E52" s="31">
        <v>0</v>
      </c>
      <c r="F52" s="31">
        <v>6342579</v>
      </c>
      <c r="G52" s="31">
        <f>5489544-8547-1300</f>
        <v>5479697</v>
      </c>
      <c r="H52" s="31">
        <f t="shared" si="2"/>
        <v>862882</v>
      </c>
      <c r="I52" s="4"/>
      <c r="J52" s="35">
        <f t="shared" si="3"/>
        <v>0.15746892574534688</v>
      </c>
      <c r="K52" s="38"/>
      <c r="L52" s="17"/>
      <c r="M52" s="38"/>
      <c r="N52" s="4"/>
      <c r="O52" s="4"/>
      <c r="P52" s="4"/>
      <c r="Q52" s="4"/>
      <c r="R52" s="4"/>
      <c r="S52" s="4"/>
      <c r="T52" s="4"/>
      <c r="U52" s="4"/>
    </row>
    <row r="53" spans="1:21" x14ac:dyDescent="0.3">
      <c r="A53" s="4">
        <v>125</v>
      </c>
      <c r="B53" s="4"/>
      <c r="C53" s="4">
        <v>517</v>
      </c>
      <c r="D53" s="4" t="s">
        <v>56</v>
      </c>
      <c r="E53" s="31">
        <v>0</v>
      </c>
      <c r="F53" s="31">
        <v>990789</v>
      </c>
      <c r="G53" s="31">
        <v>934312</v>
      </c>
      <c r="H53" s="31">
        <f t="shared" si="2"/>
        <v>56477</v>
      </c>
      <c r="I53" s="4"/>
      <c r="J53" s="35">
        <f t="shared" si="3"/>
        <v>6.0447687710315182E-2</v>
      </c>
      <c r="K53" s="4"/>
      <c r="L53" s="17"/>
      <c r="M53" s="38"/>
      <c r="N53" s="4"/>
      <c r="O53" s="4"/>
      <c r="P53" s="4"/>
      <c r="Q53" s="4"/>
      <c r="R53" s="4"/>
      <c r="S53" s="4"/>
      <c r="T53" s="4"/>
      <c r="U53" s="4"/>
    </row>
    <row r="54" spans="1:21" x14ac:dyDescent="0.3">
      <c r="A54" s="4">
        <v>125</v>
      </c>
      <c r="B54" s="4"/>
      <c r="C54" s="4">
        <v>518</v>
      </c>
      <c r="D54" s="4" t="s">
        <v>57</v>
      </c>
      <c r="E54" s="31">
        <v>0</v>
      </c>
      <c r="F54" s="31">
        <v>160000</v>
      </c>
      <c r="G54" s="31">
        <v>160000</v>
      </c>
      <c r="H54" s="31">
        <f t="shared" si="2"/>
        <v>0</v>
      </c>
      <c r="I54" s="4"/>
      <c r="J54" s="35">
        <f t="shared" si="3"/>
        <v>0</v>
      </c>
      <c r="K54" s="4"/>
      <c r="L54" s="17"/>
      <c r="M54" s="38"/>
      <c r="N54" s="4"/>
      <c r="O54" s="4"/>
      <c r="P54" s="4"/>
      <c r="Q54" s="4"/>
      <c r="R54" s="4"/>
      <c r="S54" s="4"/>
      <c r="T54" s="4"/>
      <c r="U54" s="4"/>
    </row>
    <row r="55" spans="1:21" x14ac:dyDescent="0.3">
      <c r="A55" s="4">
        <v>125</v>
      </c>
      <c r="B55" s="4"/>
      <c r="C55" s="4">
        <v>519</v>
      </c>
      <c r="D55" s="4" t="s">
        <v>58</v>
      </c>
      <c r="E55" s="31">
        <v>0</v>
      </c>
      <c r="F55" s="31">
        <v>11000</v>
      </c>
      <c r="G55" s="31">
        <v>10500</v>
      </c>
      <c r="H55" s="31">
        <f t="shared" si="2"/>
        <v>500</v>
      </c>
      <c r="I55" s="4"/>
      <c r="J55" s="35">
        <f t="shared" si="3"/>
        <v>4.7619047619047616E-2</v>
      </c>
      <c r="K55" s="4"/>
      <c r="L55" s="17"/>
      <c r="M55" s="38"/>
      <c r="N55" s="4"/>
      <c r="O55" s="4"/>
      <c r="P55" s="4"/>
      <c r="Q55" s="4"/>
      <c r="R55" s="4"/>
      <c r="S55" s="4"/>
      <c r="T55" s="4"/>
      <c r="U55" s="4"/>
    </row>
    <row r="56" spans="1:21" x14ac:dyDescent="0.3">
      <c r="A56" s="4">
        <v>125</v>
      </c>
      <c r="B56" s="4"/>
      <c r="C56" s="4">
        <v>520</v>
      </c>
      <c r="D56" s="4" t="s">
        <v>59</v>
      </c>
      <c r="E56" s="31">
        <v>0</v>
      </c>
      <c r="F56" s="31">
        <v>4283</v>
      </c>
      <c r="G56" s="31">
        <v>4283</v>
      </c>
      <c r="H56" s="31">
        <f t="shared" si="2"/>
        <v>0</v>
      </c>
      <c r="I56" s="4"/>
      <c r="J56" s="35">
        <f t="shared" si="3"/>
        <v>0</v>
      </c>
      <c r="K56" s="4"/>
      <c r="L56" s="17"/>
      <c r="M56" s="38"/>
      <c r="N56" s="4"/>
      <c r="O56" s="4"/>
      <c r="P56" s="4"/>
      <c r="Q56" s="4"/>
      <c r="R56" s="4"/>
      <c r="S56" s="4"/>
      <c r="T56" s="4"/>
      <c r="U56" s="4"/>
    </row>
    <row r="57" spans="1:21" x14ac:dyDescent="0.3">
      <c r="A57" s="4">
        <v>125</v>
      </c>
      <c r="B57" s="4"/>
      <c r="C57" s="4">
        <v>521</v>
      </c>
      <c r="D57" s="4" t="s">
        <v>60</v>
      </c>
      <c r="E57" s="31">
        <v>0</v>
      </c>
      <c r="F57" s="31">
        <v>2000</v>
      </c>
      <c r="G57" s="31">
        <v>2000</v>
      </c>
      <c r="H57" s="31">
        <f t="shared" si="2"/>
        <v>0</v>
      </c>
      <c r="I57" s="4"/>
      <c r="J57" s="35">
        <f t="shared" si="3"/>
        <v>0</v>
      </c>
      <c r="K57" s="4"/>
      <c r="L57" s="17"/>
      <c r="M57" s="38"/>
      <c r="N57" s="4"/>
      <c r="O57" s="4"/>
      <c r="P57" s="4"/>
      <c r="Q57" s="4"/>
      <c r="R57" s="4"/>
      <c r="S57" s="4"/>
      <c r="T57" s="4"/>
      <c r="U57" s="4"/>
    </row>
    <row r="58" spans="1:21" x14ac:dyDescent="0.3">
      <c r="A58" s="4">
        <v>125</v>
      </c>
      <c r="B58" s="4"/>
      <c r="C58" s="4">
        <v>525</v>
      </c>
      <c r="D58" s="4" t="s">
        <v>61</v>
      </c>
      <c r="E58" s="31">
        <v>0</v>
      </c>
      <c r="F58" s="31">
        <v>500000</v>
      </c>
      <c r="G58" s="31">
        <v>1000000</v>
      </c>
      <c r="H58" s="31">
        <f t="shared" si="2"/>
        <v>-500000</v>
      </c>
      <c r="I58" s="4"/>
      <c r="J58" s="35">
        <f t="shared" si="3"/>
        <v>-0.5</v>
      </c>
      <c r="K58" s="4"/>
      <c r="L58" s="17"/>
      <c r="M58" s="38"/>
      <c r="N58" s="4"/>
      <c r="O58" s="4"/>
      <c r="P58" s="4"/>
      <c r="Q58" s="4"/>
      <c r="R58" s="4"/>
      <c r="S58" s="4"/>
      <c r="T58" s="4"/>
      <c r="U58" s="4"/>
    </row>
    <row r="59" spans="1:21" x14ac:dyDescent="0.3">
      <c r="A59" s="4">
        <v>125</v>
      </c>
      <c r="B59" s="4"/>
      <c r="C59" s="4">
        <v>527</v>
      </c>
      <c r="D59" s="4" t="s">
        <v>602</v>
      </c>
      <c r="E59" s="31">
        <v>0</v>
      </c>
      <c r="F59" s="31">
        <v>208806</v>
      </c>
      <c r="G59" s="31">
        <v>129853</v>
      </c>
      <c r="H59" s="31">
        <f t="shared" si="2"/>
        <v>78953</v>
      </c>
      <c r="I59" s="4"/>
      <c r="J59" s="35">
        <f t="shared" si="3"/>
        <v>0.60801829761345516</v>
      </c>
      <c r="K59" s="4"/>
      <c r="L59" s="17"/>
      <c r="M59" s="38"/>
      <c r="N59" s="4"/>
      <c r="O59" s="4"/>
      <c r="P59" s="4"/>
      <c r="Q59" s="4"/>
      <c r="R59" s="4"/>
      <c r="S59" s="4"/>
      <c r="T59" s="4"/>
      <c r="U59" s="4"/>
    </row>
    <row r="60" spans="1:21" x14ac:dyDescent="0.3">
      <c r="A60" s="4">
        <v>125</v>
      </c>
      <c r="B60" s="4"/>
      <c r="C60" s="4">
        <v>537</v>
      </c>
      <c r="D60" s="4" t="s">
        <v>62</v>
      </c>
      <c r="E60" s="31">
        <v>0</v>
      </c>
      <c r="F60" s="31">
        <v>498606</v>
      </c>
      <c r="G60" s="31">
        <f>471713-806-4-466-746</f>
        <v>469691</v>
      </c>
      <c r="H60" s="31">
        <f t="shared" si="2"/>
        <v>28915</v>
      </c>
      <c r="I60" s="4"/>
      <c r="J60" s="35">
        <f t="shared" si="3"/>
        <v>6.1561750171921538E-2</v>
      </c>
      <c r="K60" s="4"/>
      <c r="L60" s="17"/>
      <c r="M60" s="38"/>
      <c r="N60" s="4"/>
      <c r="O60" s="4"/>
      <c r="P60" s="4"/>
      <c r="Q60" s="4"/>
      <c r="R60" s="4"/>
      <c r="S60" s="4"/>
      <c r="T60" s="4"/>
      <c r="U60" s="4"/>
    </row>
    <row r="61" spans="1:21" x14ac:dyDescent="0.3">
      <c r="A61" s="4">
        <v>125</v>
      </c>
      <c r="B61" s="4"/>
      <c r="C61" s="4">
        <v>538</v>
      </c>
      <c r="D61" s="4" t="s">
        <v>63</v>
      </c>
      <c r="E61" s="31">
        <v>0</v>
      </c>
      <c r="F61" s="31">
        <v>15000</v>
      </c>
      <c r="G61" s="31">
        <v>15000</v>
      </c>
      <c r="H61" s="31">
        <f t="shared" si="2"/>
        <v>0</v>
      </c>
      <c r="I61" s="4"/>
      <c r="J61" s="35">
        <f t="shared" si="3"/>
        <v>0</v>
      </c>
      <c r="K61" s="4"/>
      <c r="L61" s="17"/>
      <c r="M61" s="38"/>
      <c r="N61" s="4"/>
      <c r="O61" s="4"/>
      <c r="P61" s="4"/>
      <c r="Q61" s="4"/>
      <c r="R61" s="4"/>
      <c r="S61" s="4"/>
      <c r="T61" s="4"/>
      <c r="U61" s="4"/>
    </row>
    <row r="62" spans="1:21" x14ac:dyDescent="0.3">
      <c r="A62" s="4">
        <v>125</v>
      </c>
      <c r="B62" s="4"/>
      <c r="C62" s="4">
        <v>539</v>
      </c>
      <c r="D62" s="4" t="s">
        <v>64</v>
      </c>
      <c r="E62" s="31">
        <v>0</v>
      </c>
      <c r="F62" s="31">
        <v>20000</v>
      </c>
      <c r="G62" s="31">
        <v>20000</v>
      </c>
      <c r="H62" s="31">
        <f t="shared" si="2"/>
        <v>0</v>
      </c>
      <c r="I62" s="4"/>
      <c r="J62" s="35">
        <f t="shared" si="3"/>
        <v>0</v>
      </c>
      <c r="K62" s="4"/>
      <c r="L62" s="17"/>
      <c r="M62" s="38"/>
      <c r="N62" s="4"/>
      <c r="O62" s="4"/>
      <c r="P62" s="4"/>
      <c r="Q62" s="4"/>
      <c r="R62" s="4"/>
      <c r="S62" s="4"/>
      <c r="T62" s="4"/>
      <c r="U62" s="4"/>
    </row>
    <row r="63" spans="1:21" x14ac:dyDescent="0.3">
      <c r="A63" s="4">
        <v>125</v>
      </c>
      <c r="B63" s="4"/>
      <c r="C63" s="4">
        <v>540</v>
      </c>
      <c r="D63" s="4" t="s">
        <v>65</v>
      </c>
      <c r="E63" s="31">
        <v>0</v>
      </c>
      <c r="F63" s="31">
        <v>245768</v>
      </c>
      <c r="G63" s="31">
        <v>230543</v>
      </c>
      <c r="H63" s="31">
        <f t="shared" si="2"/>
        <v>15225</v>
      </c>
      <c r="I63" s="4"/>
      <c r="J63" s="35">
        <f t="shared" si="3"/>
        <v>6.603974095938718E-2</v>
      </c>
      <c r="K63" s="4"/>
      <c r="L63" s="17"/>
      <c r="M63" s="38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>
        <v>125</v>
      </c>
      <c r="B64" s="4"/>
      <c r="C64" s="4">
        <v>600</v>
      </c>
      <c r="D64" s="4" t="s">
        <v>66</v>
      </c>
      <c r="E64" s="31">
        <v>0</v>
      </c>
      <c r="F64" s="31">
        <v>2000000</v>
      </c>
      <c r="G64" s="31">
        <v>1500000</v>
      </c>
      <c r="H64" s="31">
        <f t="shared" si="2"/>
        <v>500000</v>
      </c>
      <c r="I64" s="4"/>
      <c r="J64" s="35">
        <f t="shared" si="3"/>
        <v>0.33333333333333331</v>
      </c>
      <c r="K64" s="4"/>
      <c r="L64" s="17"/>
      <c r="M64" s="38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>
        <v>125</v>
      </c>
      <c r="B65" s="4"/>
      <c r="C65" s="4">
        <v>685</v>
      </c>
      <c r="D65" s="4" t="s">
        <v>67</v>
      </c>
      <c r="E65" s="36">
        <v>0</v>
      </c>
      <c r="F65" s="31">
        <f>4161289+138588+30584</f>
        <v>4330461</v>
      </c>
      <c r="G65" s="31">
        <f>3756335+136000+32361</f>
        <v>3924696</v>
      </c>
      <c r="H65" s="36">
        <f t="shared" si="2"/>
        <v>405765</v>
      </c>
      <c r="I65" s="4"/>
      <c r="J65" s="35">
        <f t="shared" si="3"/>
        <v>0.10338762543646693</v>
      </c>
      <c r="K65" s="38"/>
      <c r="L65" s="17"/>
      <c r="M65" s="38"/>
      <c r="N65" s="4"/>
      <c r="O65" s="4"/>
      <c r="P65" s="4"/>
      <c r="Q65" s="4"/>
      <c r="R65" s="4"/>
      <c r="S65" s="4"/>
      <c r="T65" s="4"/>
      <c r="U65" s="4"/>
    </row>
    <row r="66" spans="1:21" x14ac:dyDescent="0.3">
      <c r="A66" s="4"/>
      <c r="B66" s="4"/>
      <c r="C66" s="4"/>
      <c r="D66" s="4" t="s">
        <v>68</v>
      </c>
      <c r="E66" s="37">
        <f>'Revenue-General'!$N$216</f>
        <v>42582468</v>
      </c>
      <c r="F66" s="37">
        <f>SUM(F16:F65)</f>
        <v>42582468</v>
      </c>
      <c r="G66" s="37">
        <f>SUM(G16:G65)</f>
        <v>35826758</v>
      </c>
      <c r="H66" s="37">
        <f>SUM(H16:H65)</f>
        <v>6755710</v>
      </c>
      <c r="I66" s="4"/>
      <c r="J66" s="39">
        <f t="shared" si="3"/>
        <v>0.18856604329088331</v>
      </c>
      <c r="K66" s="4"/>
      <c r="L66" s="17"/>
      <c r="M66" s="38"/>
      <c r="N66" s="4"/>
      <c r="O66" s="4"/>
      <c r="P66" s="4"/>
      <c r="Q66" s="4"/>
      <c r="R66" s="4"/>
      <c r="S66" s="4"/>
      <c r="T66" s="4"/>
      <c r="U66" s="4"/>
    </row>
    <row r="67" spans="1:21" x14ac:dyDescent="0.3">
      <c r="A67" s="4"/>
      <c r="B67" s="4"/>
      <c r="C67" s="4"/>
      <c r="D67" s="4"/>
      <c r="E67" s="31"/>
      <c r="F67" s="31"/>
      <c r="G67" s="31"/>
      <c r="H67" s="31"/>
      <c r="I67" s="4"/>
      <c r="J67" s="35"/>
      <c r="K67" s="4"/>
      <c r="L67" s="17"/>
      <c r="M67" s="38"/>
      <c r="N67" s="4"/>
      <c r="O67" s="4"/>
      <c r="P67" s="4"/>
      <c r="Q67" s="4"/>
      <c r="R67" s="4"/>
      <c r="S67" s="4"/>
      <c r="T67" s="4"/>
      <c r="U67" s="4"/>
    </row>
    <row r="68" spans="1:21" hidden="1" x14ac:dyDescent="0.3">
      <c r="A68" s="4">
        <v>126</v>
      </c>
      <c r="B68" s="4"/>
      <c r="C68" s="4"/>
      <c r="D68" s="4" t="s">
        <v>517</v>
      </c>
      <c r="E68" s="31">
        <v>0</v>
      </c>
      <c r="F68" s="31">
        <v>0</v>
      </c>
      <c r="G68" s="31">
        <v>4279</v>
      </c>
      <c r="H68" s="31">
        <f t="shared" ref="H68:H75" si="4">+F68-G68</f>
        <v>-4279</v>
      </c>
      <c r="I68" s="4"/>
      <c r="J68" s="35">
        <f t="shared" ref="J68:J75" si="5">+H68/G68</f>
        <v>-1</v>
      </c>
      <c r="K68" s="4"/>
      <c r="L68" s="17"/>
      <c r="M68" s="38"/>
      <c r="N68" s="4"/>
      <c r="O68" s="4"/>
      <c r="P68" s="4"/>
      <c r="Q68" s="4"/>
      <c r="R68" s="4"/>
      <c r="S68" s="4"/>
      <c r="T68" s="4"/>
      <c r="U68" s="4"/>
    </row>
    <row r="69" spans="1:21" hidden="1" x14ac:dyDescent="0.3">
      <c r="A69" s="4">
        <v>127</v>
      </c>
      <c r="B69" s="4"/>
      <c r="C69" s="4"/>
      <c r="D69" s="4" t="s">
        <v>518</v>
      </c>
      <c r="E69" s="31">
        <v>0</v>
      </c>
      <c r="F69" s="31">
        <v>0</v>
      </c>
      <c r="G69" s="31">
        <v>27430</v>
      </c>
      <c r="H69" s="31">
        <f t="shared" si="4"/>
        <v>-27430</v>
      </c>
      <c r="I69" s="4"/>
      <c r="J69" s="35">
        <f t="shared" si="5"/>
        <v>-1</v>
      </c>
      <c r="K69" s="4"/>
      <c r="L69" s="17"/>
      <c r="M69" s="38"/>
      <c r="N69" s="4"/>
      <c r="O69" s="4"/>
      <c r="P69" s="4"/>
      <c r="Q69" s="4"/>
      <c r="R69" s="4"/>
      <c r="S69" s="4"/>
      <c r="T69" s="4"/>
      <c r="U69" s="4"/>
    </row>
    <row r="70" spans="1:21" hidden="1" x14ac:dyDescent="0.3">
      <c r="A70" s="4">
        <v>128</v>
      </c>
      <c r="B70" s="4"/>
      <c r="C70" s="4"/>
      <c r="D70" s="4" t="s">
        <v>519</v>
      </c>
      <c r="E70" s="31">
        <v>0</v>
      </c>
      <c r="F70" s="31">
        <v>0</v>
      </c>
      <c r="G70" s="31">
        <v>41146</v>
      </c>
      <c r="H70" s="31">
        <f t="shared" si="4"/>
        <v>-41146</v>
      </c>
      <c r="I70" s="4"/>
      <c r="J70" s="35">
        <f t="shared" si="5"/>
        <v>-1</v>
      </c>
      <c r="K70" s="4"/>
      <c r="L70" s="17"/>
      <c r="M70" s="38"/>
      <c r="N70" s="4"/>
      <c r="O70" s="4"/>
      <c r="P70" s="4"/>
      <c r="Q70" s="4"/>
      <c r="R70" s="4"/>
      <c r="S70" s="4"/>
      <c r="T70" s="4"/>
      <c r="U70" s="4"/>
    </row>
    <row r="71" spans="1:21" hidden="1" x14ac:dyDescent="0.3">
      <c r="A71" s="4">
        <v>129</v>
      </c>
      <c r="B71" s="4"/>
      <c r="C71" s="4">
        <v>634</v>
      </c>
      <c r="D71" s="4" t="s">
        <v>69</v>
      </c>
      <c r="E71" s="31">
        <v>0</v>
      </c>
      <c r="F71" s="31">
        <v>0</v>
      </c>
      <c r="G71" s="31">
        <v>36104</v>
      </c>
      <c r="H71" s="31">
        <f t="shared" si="4"/>
        <v>-36104</v>
      </c>
      <c r="I71" s="4"/>
      <c r="J71" s="35">
        <f t="shared" si="5"/>
        <v>-1</v>
      </c>
      <c r="K71" s="4"/>
      <c r="L71" s="17"/>
      <c r="M71" s="38"/>
      <c r="N71" s="4"/>
      <c r="O71" s="4"/>
      <c r="P71" s="4"/>
      <c r="Q71" s="4"/>
      <c r="R71" s="4"/>
      <c r="S71" s="4"/>
      <c r="T71" s="4"/>
      <c r="U71" s="4"/>
    </row>
    <row r="72" spans="1:21" hidden="1" x14ac:dyDescent="0.3">
      <c r="A72" s="4">
        <v>130</v>
      </c>
      <c r="B72" s="4"/>
      <c r="C72" s="4"/>
      <c r="D72" s="4" t="s">
        <v>520</v>
      </c>
      <c r="E72" s="31">
        <v>0</v>
      </c>
      <c r="F72" s="31">
        <v>0</v>
      </c>
      <c r="G72" s="31">
        <v>0</v>
      </c>
      <c r="H72" s="31">
        <f t="shared" si="4"/>
        <v>0</v>
      </c>
      <c r="I72" s="4"/>
      <c r="J72" s="35" t="e">
        <f t="shared" si="5"/>
        <v>#DIV/0!</v>
      </c>
      <c r="K72" s="4"/>
      <c r="L72" s="17"/>
      <c r="M72" s="38"/>
      <c r="N72" s="4"/>
      <c r="O72" s="4"/>
      <c r="P72" s="4"/>
      <c r="Q72" s="4"/>
      <c r="R72" s="4"/>
      <c r="S72" s="4"/>
      <c r="T72" s="4"/>
      <c r="U72" s="4"/>
    </row>
    <row r="73" spans="1:21" hidden="1" x14ac:dyDescent="0.3">
      <c r="A73" s="4">
        <v>131</v>
      </c>
      <c r="B73" s="4"/>
      <c r="C73" s="4"/>
      <c r="D73" s="4" t="s">
        <v>521</v>
      </c>
      <c r="E73" s="31">
        <v>0</v>
      </c>
      <c r="F73" s="31">
        <v>0</v>
      </c>
      <c r="G73" s="31">
        <v>17353</v>
      </c>
      <c r="H73" s="31">
        <f t="shared" si="4"/>
        <v>-17353</v>
      </c>
      <c r="I73" s="4"/>
      <c r="J73" s="35">
        <f t="shared" si="5"/>
        <v>-1</v>
      </c>
      <c r="K73" s="4"/>
      <c r="L73" s="17"/>
      <c r="M73" s="38"/>
      <c r="N73" s="4"/>
      <c r="O73" s="4"/>
      <c r="P73" s="4"/>
      <c r="Q73" s="4"/>
      <c r="R73" s="4"/>
      <c r="S73" s="4"/>
      <c r="T73" s="4"/>
      <c r="U73" s="4"/>
    </row>
    <row r="74" spans="1:21" hidden="1" x14ac:dyDescent="0.3">
      <c r="A74" s="4">
        <v>190</v>
      </c>
      <c r="B74" s="4"/>
      <c r="C74" s="4">
        <v>575</v>
      </c>
      <c r="D74" s="4" t="s">
        <v>555</v>
      </c>
      <c r="E74" s="31">
        <v>0</v>
      </c>
      <c r="F74" s="31">
        <v>0</v>
      </c>
      <c r="G74" s="31">
        <v>0</v>
      </c>
      <c r="H74" s="31">
        <f t="shared" si="4"/>
        <v>0</v>
      </c>
      <c r="I74" s="4"/>
      <c r="J74" s="35" t="e">
        <f t="shared" si="5"/>
        <v>#DIV/0!</v>
      </c>
      <c r="K74" s="4"/>
      <c r="L74" s="17"/>
      <c r="M74" s="38"/>
      <c r="N74" s="4"/>
      <c r="O74" s="4"/>
      <c r="P74" s="4"/>
      <c r="Q74" s="4"/>
      <c r="R74" s="4"/>
      <c r="S74" s="4"/>
      <c r="T74" s="4"/>
      <c r="U74" s="4"/>
    </row>
    <row r="75" spans="1:21" x14ac:dyDescent="0.3">
      <c r="A75" s="4">
        <v>515</v>
      </c>
      <c r="B75" s="4"/>
      <c r="C75" s="4">
        <v>635</v>
      </c>
      <c r="D75" s="4" t="s">
        <v>70</v>
      </c>
      <c r="E75" s="36">
        <f>'Revenue-Debt Service'!$N$22</f>
        <v>6246900</v>
      </c>
      <c r="F75" s="36">
        <v>6246900</v>
      </c>
      <c r="G75" s="36">
        <v>4089723</v>
      </c>
      <c r="H75" s="36">
        <f t="shared" si="4"/>
        <v>2157177</v>
      </c>
      <c r="I75" s="4"/>
      <c r="J75" s="42">
        <f t="shared" si="5"/>
        <v>0.52746286239923823</v>
      </c>
      <c r="K75" s="4"/>
      <c r="L75" s="17"/>
      <c r="M75" s="38"/>
      <c r="N75" s="4"/>
      <c r="O75" s="4"/>
      <c r="P75" s="4"/>
      <c r="Q75" s="4"/>
      <c r="R75" s="4"/>
      <c r="S75" s="4"/>
      <c r="T75" s="4"/>
      <c r="U75" s="4"/>
    </row>
    <row r="76" spans="1:21" x14ac:dyDescent="0.3">
      <c r="A76" s="4"/>
      <c r="B76" s="4"/>
      <c r="C76" s="4"/>
      <c r="D76" s="4"/>
      <c r="E76" s="31"/>
      <c r="F76" s="31"/>
      <c r="G76" s="31"/>
      <c r="H76" s="31"/>
      <c r="I76" s="4"/>
      <c r="J76" s="35"/>
      <c r="K76" s="4"/>
      <c r="L76" s="17"/>
      <c r="M76" s="38"/>
      <c r="N76" s="4"/>
      <c r="O76" s="4"/>
      <c r="P76" s="4"/>
      <c r="Q76" s="4"/>
      <c r="R76" s="4"/>
      <c r="S76" s="4"/>
      <c r="T76" s="4"/>
      <c r="U76" s="4"/>
    </row>
    <row r="77" spans="1:21" ht="15" thickBot="1" x14ac:dyDescent="0.35">
      <c r="A77" s="4"/>
      <c r="B77" s="4"/>
      <c r="C77" s="4"/>
      <c r="D77" s="32" t="s">
        <v>71</v>
      </c>
      <c r="E77" s="43">
        <f>+E89</f>
        <v>64055587</v>
      </c>
      <c r="F77" s="43">
        <f>+F89</f>
        <v>64055587</v>
      </c>
      <c r="G77" s="43">
        <f>SUM(G10:G75)-G13-G66</f>
        <v>51756226</v>
      </c>
      <c r="H77" s="43">
        <f>+H75+H66+H13</f>
        <v>12425673</v>
      </c>
      <c r="I77" s="32"/>
      <c r="J77" s="44">
        <f>+H77/G77</f>
        <v>0.24008073927183177</v>
      </c>
      <c r="K77" s="4"/>
      <c r="L77" s="17"/>
      <c r="M77" s="38"/>
      <c r="N77" s="4"/>
      <c r="O77" s="4"/>
      <c r="P77" s="4"/>
      <c r="Q77" s="4"/>
      <c r="R77" s="4"/>
      <c r="S77" s="4"/>
      <c r="T77" s="4"/>
      <c r="U77" s="4"/>
    </row>
    <row r="78" spans="1:21" ht="15" thickTop="1" x14ac:dyDescent="0.3">
      <c r="A78" s="4"/>
      <c r="B78" s="4"/>
      <c r="C78" s="4"/>
      <c r="D78" s="4"/>
      <c r="E78" s="31"/>
      <c r="F78" s="31"/>
      <c r="G78" s="31"/>
      <c r="H78" s="31"/>
      <c r="I78" s="4"/>
      <c r="J78" s="35"/>
      <c r="K78" s="4"/>
      <c r="L78" s="17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3">
      <c r="A79" s="4"/>
      <c r="B79" s="4"/>
      <c r="C79" s="4"/>
      <c r="D79" s="45" t="s">
        <v>771</v>
      </c>
      <c r="E79" s="46"/>
      <c r="F79" s="47">
        <f>-F77+E77</f>
        <v>0</v>
      </c>
      <c r="G79" s="31" t="s">
        <v>733</v>
      </c>
      <c r="H79" s="31"/>
      <c r="I79" s="4"/>
      <c r="J79" s="35"/>
      <c r="K79" s="4"/>
      <c r="L79" s="17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3">
      <c r="A80" s="4"/>
      <c r="B80" s="4"/>
      <c r="C80" s="4"/>
      <c r="D80" s="4"/>
      <c r="E80" s="31"/>
      <c r="F80" s="31"/>
      <c r="G80" s="31" t="s">
        <v>734</v>
      </c>
      <c r="H80" s="31"/>
      <c r="I80" s="4"/>
      <c r="J80" s="4"/>
      <c r="K80" s="4"/>
      <c r="L80" s="17"/>
      <c r="M80" s="4"/>
      <c r="N80" s="4"/>
      <c r="O80" s="4"/>
      <c r="P80" s="4"/>
      <c r="Q80" s="4"/>
      <c r="R80" s="4"/>
      <c r="S80" s="4"/>
      <c r="T80" s="4"/>
      <c r="U80" s="4"/>
    </row>
    <row r="81" spans="1:21" ht="15" thickBot="1" x14ac:dyDescent="0.35">
      <c r="A81" s="4"/>
      <c r="B81" s="4"/>
      <c r="C81" s="4"/>
      <c r="D81" s="4"/>
      <c r="E81" s="31"/>
      <c r="F81" s="31"/>
      <c r="G81" s="31"/>
      <c r="H81" s="31"/>
      <c r="I81" s="4"/>
      <c r="J81" s="4"/>
      <c r="K81" s="4"/>
      <c r="L81" s="17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3">
      <c r="A82" s="48" t="s">
        <v>675</v>
      </c>
      <c r="B82" s="49"/>
      <c r="C82" s="49"/>
      <c r="D82" s="49"/>
      <c r="E82" s="21"/>
      <c r="F82" s="21"/>
      <c r="G82" s="21"/>
      <c r="H82" s="50"/>
      <c r="I82" s="19"/>
      <c r="J82" s="22"/>
      <c r="K82" s="4"/>
      <c r="L82" s="17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3">
      <c r="A83" s="51"/>
      <c r="B83" s="32"/>
      <c r="C83" s="32"/>
      <c r="D83" s="32"/>
      <c r="E83" s="24"/>
      <c r="F83" s="24"/>
      <c r="G83" s="24"/>
      <c r="H83" s="31"/>
      <c r="I83" s="4"/>
      <c r="J83" s="52"/>
      <c r="K83" s="4"/>
      <c r="L83" s="17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3">
      <c r="A84" s="23" t="s">
        <v>1</v>
      </c>
      <c r="B84" s="32"/>
      <c r="C84" s="32"/>
      <c r="D84" s="7" t="s">
        <v>1</v>
      </c>
      <c r="E84" s="7">
        <v>2023</v>
      </c>
      <c r="F84" s="7">
        <v>2023</v>
      </c>
      <c r="G84" s="24" t="s">
        <v>72</v>
      </c>
      <c r="H84" s="24" t="s">
        <v>73</v>
      </c>
      <c r="I84" s="4"/>
      <c r="J84" s="52"/>
      <c r="K84" s="4"/>
      <c r="L84" s="53"/>
      <c r="M84" s="7"/>
      <c r="N84" s="4"/>
      <c r="O84" s="4"/>
      <c r="P84" s="4"/>
      <c r="Q84" s="4"/>
      <c r="R84" s="4"/>
      <c r="S84" s="4"/>
      <c r="T84" s="4"/>
      <c r="U84" s="4"/>
    </row>
    <row r="85" spans="1:21" x14ac:dyDescent="0.3">
      <c r="A85" s="54" t="s">
        <v>645</v>
      </c>
      <c r="B85" s="4"/>
      <c r="C85" s="4"/>
      <c r="D85" s="5" t="s">
        <v>8</v>
      </c>
      <c r="E85" s="55" t="s">
        <v>9</v>
      </c>
      <c r="F85" s="55" t="s">
        <v>10</v>
      </c>
      <c r="G85" s="56" t="s">
        <v>74</v>
      </c>
      <c r="H85" s="55" t="s">
        <v>75</v>
      </c>
      <c r="I85" s="4"/>
      <c r="J85" s="10"/>
      <c r="K85" s="4"/>
      <c r="L85" s="25"/>
      <c r="M85" s="7"/>
      <c r="N85" s="4"/>
      <c r="O85" s="4"/>
      <c r="P85" s="4"/>
      <c r="Q85" s="4"/>
      <c r="R85" s="4"/>
      <c r="S85" s="4"/>
      <c r="T85" s="4"/>
      <c r="U85" s="4"/>
    </row>
    <row r="86" spans="1:21" x14ac:dyDescent="0.3">
      <c r="A86" s="57">
        <v>110</v>
      </c>
      <c r="B86" s="4"/>
      <c r="C86" s="4"/>
      <c r="D86" s="4" t="s">
        <v>76</v>
      </c>
      <c r="E86" s="33">
        <f>+E13</f>
        <v>15226219</v>
      </c>
      <c r="F86" s="33">
        <f>+F13</f>
        <v>15226219</v>
      </c>
      <c r="G86" s="31">
        <f>+E86-F86</f>
        <v>0</v>
      </c>
      <c r="H86" s="31">
        <v>0</v>
      </c>
      <c r="I86" s="4"/>
      <c r="J86" s="58"/>
      <c r="K86" s="4"/>
      <c r="L86" s="17"/>
      <c r="M86" s="38"/>
      <c r="N86" s="4"/>
      <c r="O86" s="4"/>
      <c r="P86" s="4"/>
      <c r="Q86" s="4"/>
      <c r="R86" s="4"/>
      <c r="S86" s="4"/>
      <c r="T86" s="4"/>
      <c r="U86" s="4"/>
    </row>
    <row r="87" spans="1:21" x14ac:dyDescent="0.3">
      <c r="A87" s="57">
        <v>125</v>
      </c>
      <c r="B87" s="4"/>
      <c r="C87" s="4"/>
      <c r="D87" s="4" t="s">
        <v>77</v>
      </c>
      <c r="E87" s="31">
        <f>+E66</f>
        <v>42582468</v>
      </c>
      <c r="F87" s="31">
        <f>+F66</f>
        <v>42582468</v>
      </c>
      <c r="G87" s="31">
        <f>+E87-F87</f>
        <v>0</v>
      </c>
      <c r="H87" s="31">
        <v>0</v>
      </c>
      <c r="I87" s="4"/>
      <c r="J87" s="52"/>
      <c r="K87" s="4"/>
      <c r="L87" s="17"/>
      <c r="M87" s="38"/>
      <c r="N87" s="4"/>
      <c r="O87" s="4"/>
      <c r="P87" s="4"/>
      <c r="Q87" s="4"/>
      <c r="R87" s="4"/>
      <c r="S87" s="4"/>
      <c r="T87" s="4"/>
      <c r="U87" s="4"/>
    </row>
    <row r="88" spans="1:21" x14ac:dyDescent="0.3">
      <c r="A88" s="57">
        <v>515</v>
      </c>
      <c r="B88" s="4"/>
      <c r="C88" s="4"/>
      <c r="D88" s="4" t="s">
        <v>70</v>
      </c>
      <c r="E88" s="31">
        <f>+E75</f>
        <v>6246900</v>
      </c>
      <c r="F88" s="31">
        <f>+F75</f>
        <v>6246900</v>
      </c>
      <c r="G88" s="31">
        <f>+E88-F88</f>
        <v>0</v>
      </c>
      <c r="H88" s="31">
        <v>0</v>
      </c>
      <c r="I88" s="4"/>
      <c r="J88" s="58"/>
      <c r="K88" s="4"/>
      <c r="L88" s="17"/>
      <c r="M88" s="38"/>
      <c r="N88" s="4"/>
      <c r="O88" s="4"/>
      <c r="P88" s="4"/>
      <c r="Q88" s="4"/>
      <c r="R88" s="4"/>
      <c r="S88" s="4"/>
      <c r="T88" s="4"/>
      <c r="U88" s="4"/>
    </row>
    <row r="89" spans="1:21" ht="15" thickBot="1" x14ac:dyDescent="0.35">
      <c r="A89" s="59"/>
      <c r="B89" s="60"/>
      <c r="C89" s="60"/>
      <c r="D89" s="60"/>
      <c r="E89" s="61">
        <f>SUM(E86:E88)</f>
        <v>64055587</v>
      </c>
      <c r="F89" s="61">
        <f>SUM(F86:F88)</f>
        <v>64055587</v>
      </c>
      <c r="G89" s="62">
        <f>SUM(G86:G88)</f>
        <v>0</v>
      </c>
      <c r="H89" s="62">
        <f>SUM(H86:H88)</f>
        <v>0</v>
      </c>
      <c r="I89" s="60"/>
      <c r="J89" s="63"/>
      <c r="K89" s="4"/>
      <c r="L89" s="17"/>
      <c r="M89" s="38"/>
      <c r="N89" s="4"/>
      <c r="O89" s="4"/>
      <c r="P89" s="4"/>
      <c r="Q89" s="4"/>
      <c r="R89" s="106">
        <f>500000000/0.05</f>
        <v>10000000000</v>
      </c>
      <c r="S89" s="4"/>
      <c r="T89" s="4"/>
      <c r="U89" s="4"/>
    </row>
    <row r="90" spans="1:21" x14ac:dyDescent="0.3">
      <c r="A90" s="4"/>
      <c r="B90" s="4"/>
      <c r="C90" s="4"/>
      <c r="D90" s="4"/>
      <c r="E90" s="31"/>
      <c r="F90" s="31"/>
      <c r="G90" s="64"/>
      <c r="H90" s="31"/>
      <c r="I90" s="4"/>
      <c r="J90" s="4"/>
      <c r="K90" s="4"/>
      <c r="L90" s="17"/>
      <c r="M90" s="38"/>
      <c r="N90" s="4"/>
      <c r="O90" s="4"/>
      <c r="P90" s="4"/>
      <c r="Q90" s="4"/>
      <c r="R90" s="4"/>
      <c r="S90" s="4"/>
      <c r="T90" s="4"/>
      <c r="U90" s="4"/>
    </row>
    <row r="91" spans="1:21" ht="15" thickBot="1" x14ac:dyDescent="0.35">
      <c r="A91" s="4"/>
      <c r="B91" s="4"/>
      <c r="C91" s="4"/>
      <c r="D91" s="4"/>
      <c r="E91" s="31"/>
      <c r="F91" s="31"/>
      <c r="G91" s="31"/>
      <c r="H91" s="31"/>
      <c r="I91" s="4"/>
      <c r="J91" s="4"/>
      <c r="K91" s="4"/>
      <c r="L91" s="17"/>
      <c r="M91" s="38"/>
      <c r="N91" s="4"/>
      <c r="O91" s="4"/>
      <c r="P91" s="4"/>
      <c r="Q91" s="4"/>
      <c r="R91" s="106">
        <f>8639713526*0.05</f>
        <v>431985676.30000001</v>
      </c>
      <c r="S91" s="4"/>
      <c r="T91" s="4"/>
      <c r="U91" s="4"/>
    </row>
    <row r="92" spans="1:21" x14ac:dyDescent="0.3">
      <c r="A92" s="48" t="s">
        <v>620</v>
      </c>
      <c r="B92" s="49"/>
      <c r="C92" s="49"/>
      <c r="D92" s="49"/>
      <c r="E92" s="65" t="s">
        <v>676</v>
      </c>
      <c r="F92" s="66" t="s">
        <v>677</v>
      </c>
      <c r="G92" s="66" t="s">
        <v>500</v>
      </c>
      <c r="H92" s="66" t="s">
        <v>741</v>
      </c>
      <c r="I92" s="67"/>
      <c r="J92" s="7"/>
      <c r="K92" s="32"/>
      <c r="L92" s="7"/>
      <c r="M92" s="38"/>
      <c r="N92" s="4"/>
      <c r="O92" s="4"/>
      <c r="P92" s="4"/>
      <c r="Q92" s="4"/>
      <c r="S92" s="4"/>
      <c r="T92" s="4"/>
      <c r="U92" s="4"/>
    </row>
    <row r="93" spans="1:21" x14ac:dyDescent="0.3">
      <c r="A93" s="57" t="s">
        <v>621</v>
      </c>
      <c r="B93" s="4"/>
      <c r="C93" s="4" t="s">
        <v>622</v>
      </c>
      <c r="D93" s="4"/>
      <c r="E93" s="68">
        <v>0.53186100000000003</v>
      </c>
      <c r="F93" s="12">
        <v>0.60463199999999995</v>
      </c>
      <c r="G93" s="69">
        <f t="shared" ref="G93:G105" si="6">+E93-F93</f>
        <v>-7.2770999999999919E-2</v>
      </c>
      <c r="H93" s="17">
        <f>+J116</f>
        <v>4787571.7179172039</v>
      </c>
      <c r="I93" s="70"/>
      <c r="J93" s="17"/>
      <c r="K93" s="4"/>
      <c r="L93" s="17"/>
      <c r="M93" s="38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57" t="s">
        <v>623</v>
      </c>
      <c r="B94" s="4"/>
      <c r="C94" s="4" t="s">
        <v>624</v>
      </c>
      <c r="D94" s="4"/>
      <c r="E94" s="68">
        <f>+G129</f>
        <v>0.53423031499999996</v>
      </c>
      <c r="F94" s="12">
        <v>0.60463199999999995</v>
      </c>
      <c r="G94" s="69">
        <f t="shared" si="6"/>
        <v>-7.0401684999999992E-2</v>
      </c>
      <c r="H94" s="17">
        <f>+J134</f>
        <v>4986106.8526388705</v>
      </c>
      <c r="I94" s="70"/>
      <c r="J94" s="17"/>
      <c r="K94" s="4"/>
      <c r="L94" s="17"/>
      <c r="M94" s="38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57" t="s">
        <v>630</v>
      </c>
      <c r="B95" s="4"/>
      <c r="C95" s="4" t="s">
        <v>625</v>
      </c>
      <c r="D95" s="4"/>
      <c r="E95" s="68">
        <f>+G147</f>
        <v>0.53659962999999999</v>
      </c>
      <c r="F95" s="12">
        <v>0.60463199999999995</v>
      </c>
      <c r="G95" s="69">
        <f t="shared" si="6"/>
        <v>-6.8032369999999953E-2</v>
      </c>
      <c r="H95" s="17">
        <f>+J152</f>
        <v>5184641.9873605296</v>
      </c>
      <c r="I95" s="70"/>
      <c r="J95" s="71"/>
      <c r="K95" s="4"/>
      <c r="L95" s="16" t="s">
        <v>747</v>
      </c>
      <c r="M95" s="38"/>
      <c r="N95" s="4"/>
      <c r="O95" s="4"/>
      <c r="P95" s="4"/>
      <c r="Q95" s="4"/>
      <c r="R95" s="4"/>
      <c r="S95" s="4"/>
      <c r="T95" s="4"/>
      <c r="U95" s="4"/>
    </row>
    <row r="96" spans="1:21" x14ac:dyDescent="0.3">
      <c r="A96" s="57" t="s">
        <v>631</v>
      </c>
      <c r="B96" s="4"/>
      <c r="C96" s="4" t="s">
        <v>636</v>
      </c>
      <c r="D96" s="4"/>
      <c r="E96" s="68">
        <f>+G165</f>
        <v>0.53896894499999992</v>
      </c>
      <c r="F96" s="12">
        <v>0.60463199999999995</v>
      </c>
      <c r="G96" s="69">
        <f t="shared" si="6"/>
        <v>-6.5663055000000026E-2</v>
      </c>
      <c r="H96" s="17">
        <f>+J170</f>
        <v>5383177.1220821887</v>
      </c>
      <c r="I96" s="70"/>
      <c r="J96" s="72"/>
      <c r="K96" s="4"/>
      <c r="L96" s="12">
        <v>5.6093999999999998E-2</v>
      </c>
      <c r="M96" s="73">
        <v>2022</v>
      </c>
      <c r="N96" s="4"/>
      <c r="O96" s="4"/>
      <c r="P96" s="4"/>
      <c r="Q96" s="4"/>
      <c r="R96" s="4"/>
      <c r="S96" s="4"/>
      <c r="T96" s="4"/>
      <c r="U96" s="4"/>
    </row>
    <row r="97" spans="1:21" x14ac:dyDescent="0.3">
      <c r="A97" s="57" t="s">
        <v>632</v>
      </c>
      <c r="B97" s="4"/>
      <c r="C97" s="4" t="s">
        <v>626</v>
      </c>
      <c r="D97" s="4"/>
      <c r="E97" s="68">
        <f>+G183</f>
        <v>0.54133826000000007</v>
      </c>
      <c r="F97" s="12">
        <v>0.60463199999999995</v>
      </c>
      <c r="G97" s="69">
        <f t="shared" si="6"/>
        <v>-6.3293739999999876E-2</v>
      </c>
      <c r="H97" s="17">
        <f>+J188</f>
        <v>5581712.2568038478</v>
      </c>
      <c r="I97" s="70"/>
      <c r="J97" s="72"/>
      <c r="K97" s="4"/>
      <c r="L97" s="74">
        <v>5.7998000000000001E-2</v>
      </c>
      <c r="M97" s="73">
        <v>2023</v>
      </c>
      <c r="N97" s="4"/>
      <c r="O97" s="4"/>
      <c r="P97" s="4"/>
      <c r="Q97" s="4"/>
      <c r="R97" s="4"/>
      <c r="S97" s="4"/>
      <c r="T97" s="4"/>
      <c r="U97" s="4"/>
    </row>
    <row r="98" spans="1:21" x14ac:dyDescent="0.3">
      <c r="A98" s="57" t="s">
        <v>633</v>
      </c>
      <c r="B98" s="4"/>
      <c r="C98" s="4" t="s">
        <v>627</v>
      </c>
      <c r="D98" s="4"/>
      <c r="E98" s="68">
        <f>+G201</f>
        <v>0.543707575</v>
      </c>
      <c r="F98" s="12">
        <v>0.60463199999999995</v>
      </c>
      <c r="G98" s="69">
        <f t="shared" si="6"/>
        <v>-6.0924424999999949E-2</v>
      </c>
      <c r="H98" s="17">
        <f>+J206</f>
        <v>5780247.391525507</v>
      </c>
      <c r="I98" s="70"/>
      <c r="J98" s="17"/>
      <c r="K98" s="4"/>
      <c r="L98" s="17"/>
      <c r="M98" s="69"/>
      <c r="N98" s="4"/>
      <c r="O98" s="4"/>
      <c r="P98" s="4"/>
      <c r="Q98" s="4"/>
      <c r="R98" s="4"/>
      <c r="S98" s="4"/>
      <c r="T98" s="4"/>
      <c r="U98" s="4"/>
    </row>
    <row r="99" spans="1:21" x14ac:dyDescent="0.3">
      <c r="A99" s="57" t="s">
        <v>634</v>
      </c>
      <c r="B99" s="4"/>
      <c r="C99" s="4" t="s">
        <v>628</v>
      </c>
      <c r="D99" s="4"/>
      <c r="E99" s="68">
        <f>+G219</f>
        <v>0.54607689000000004</v>
      </c>
      <c r="F99" s="12">
        <v>0.60463199999999995</v>
      </c>
      <c r="G99" s="69">
        <f t="shared" si="6"/>
        <v>-5.855510999999991E-2</v>
      </c>
      <c r="H99" s="17">
        <f>+J224</f>
        <v>5978782.5262471735</v>
      </c>
      <c r="I99" s="70"/>
      <c r="J99" s="17"/>
      <c r="K99" s="4"/>
      <c r="L99" s="17"/>
      <c r="M99" s="38"/>
      <c r="N99" s="4"/>
      <c r="O99" s="4"/>
      <c r="P99" s="4"/>
      <c r="Q99" s="4"/>
      <c r="R99" s="4"/>
      <c r="S99" s="4"/>
      <c r="T99" s="4"/>
      <c r="U99" s="4"/>
    </row>
    <row r="100" spans="1:21" x14ac:dyDescent="0.3">
      <c r="A100" s="75" t="s">
        <v>637</v>
      </c>
      <c r="B100" s="76"/>
      <c r="C100" s="76" t="s">
        <v>629</v>
      </c>
      <c r="D100" s="76"/>
      <c r="E100" s="77">
        <f>+G237</f>
        <v>0.54844521745300001</v>
      </c>
      <c r="F100" s="74">
        <v>0.60463199999999995</v>
      </c>
      <c r="G100" s="78">
        <f t="shared" si="6"/>
        <v>-5.6186782546999936E-2</v>
      </c>
      <c r="H100" s="79">
        <f>+J242</f>
        <v>6177234.899374038</v>
      </c>
      <c r="I100" s="70"/>
      <c r="J100" s="72"/>
      <c r="K100" s="4"/>
      <c r="L100" s="4">
        <v>3.3942999999999999</v>
      </c>
      <c r="M100" s="69" t="s">
        <v>748</v>
      </c>
      <c r="N100" s="4"/>
      <c r="O100" s="4"/>
      <c r="P100" s="4"/>
      <c r="Q100" s="4"/>
      <c r="R100" s="4"/>
      <c r="S100" s="4"/>
      <c r="T100" s="4"/>
      <c r="U100" s="4"/>
    </row>
    <row r="101" spans="1:21" x14ac:dyDescent="0.3">
      <c r="A101" s="57" t="s">
        <v>638</v>
      </c>
      <c r="B101" s="4"/>
      <c r="C101" s="4" t="s">
        <v>718</v>
      </c>
      <c r="D101" s="4"/>
      <c r="E101" s="68">
        <f>+G255</f>
        <v>0.55844516250139997</v>
      </c>
      <c r="F101" s="12">
        <v>0.60463199999999995</v>
      </c>
      <c r="G101" s="69">
        <f t="shared" si="6"/>
        <v>-4.6186837498599975E-2</v>
      </c>
      <c r="H101" s="17">
        <f>+J260</f>
        <v>7015282.5175315514</v>
      </c>
      <c r="I101" s="70"/>
      <c r="J101" s="72"/>
      <c r="K101" s="4"/>
      <c r="L101" s="80">
        <v>3.5</v>
      </c>
      <c r="M101" s="69" t="s">
        <v>658</v>
      </c>
      <c r="N101" s="4"/>
      <c r="O101" s="4"/>
      <c r="P101" s="4"/>
      <c r="Q101" s="4"/>
      <c r="R101" s="4"/>
      <c r="S101" s="4"/>
      <c r="T101" s="4"/>
      <c r="U101" s="4"/>
    </row>
    <row r="102" spans="1:21" x14ac:dyDescent="0.3">
      <c r="A102" s="57" t="s">
        <v>717</v>
      </c>
      <c r="B102" s="4"/>
      <c r="C102" s="4" t="s">
        <v>728</v>
      </c>
      <c r="D102" s="4"/>
      <c r="E102" s="68">
        <f>+G273</f>
        <v>0.56094516250139992</v>
      </c>
      <c r="F102" s="12">
        <v>0.60463199999999995</v>
      </c>
      <c r="G102" s="69">
        <f t="shared" si="6"/>
        <v>-4.3686837498600029E-2</v>
      </c>
      <c r="H102" s="17">
        <f>+J278</f>
        <v>7224795.570537053</v>
      </c>
      <c r="I102" s="70"/>
      <c r="J102" s="72"/>
      <c r="K102" s="4"/>
      <c r="L102" s="81">
        <f>SUM(L100:L101)</f>
        <v>6.8942999999999994</v>
      </c>
      <c r="M102" s="69"/>
      <c r="N102" s="4"/>
      <c r="O102" s="4"/>
      <c r="P102" s="4"/>
      <c r="Q102" s="4"/>
      <c r="R102" s="4"/>
      <c r="S102" s="4"/>
      <c r="T102" s="4"/>
      <c r="U102" s="4"/>
    </row>
    <row r="103" spans="1:21" x14ac:dyDescent="0.3">
      <c r="A103" s="57" t="s">
        <v>726</v>
      </c>
      <c r="B103" s="4"/>
      <c r="C103" s="4" t="s">
        <v>731</v>
      </c>
      <c r="D103" s="4"/>
      <c r="E103" s="68">
        <f>+G291</f>
        <v>0.56344516250139998</v>
      </c>
      <c r="F103" s="12">
        <v>0.60463199999999995</v>
      </c>
      <c r="G103" s="69">
        <f t="shared" si="6"/>
        <v>-4.1186837498599971E-2</v>
      </c>
      <c r="H103" s="17">
        <f>+J296</f>
        <v>6918215.9356132522</v>
      </c>
      <c r="I103" s="70"/>
      <c r="J103" s="72"/>
      <c r="K103" s="4"/>
      <c r="L103" s="4"/>
      <c r="M103" s="69"/>
      <c r="N103" s="4"/>
      <c r="O103" s="4"/>
      <c r="P103" s="4"/>
      <c r="Q103" s="4"/>
      <c r="R103" s="4"/>
      <c r="S103" s="4"/>
      <c r="T103" s="4"/>
      <c r="U103" s="4"/>
    </row>
    <row r="104" spans="1:21" x14ac:dyDescent="0.3">
      <c r="A104" s="57" t="s">
        <v>727</v>
      </c>
      <c r="B104" s="4"/>
      <c r="C104" s="4" t="s">
        <v>715</v>
      </c>
      <c r="D104" s="4"/>
      <c r="E104" s="68">
        <f>+G309</f>
        <v>0.5666311625014</v>
      </c>
      <c r="F104" s="12">
        <v>0.60463199999999995</v>
      </c>
      <c r="G104" s="69">
        <f t="shared" si="6"/>
        <v>-3.8000837498599949E-2</v>
      </c>
      <c r="H104" s="17">
        <f>+J314</f>
        <v>7701312.0582927689</v>
      </c>
      <c r="I104" s="70"/>
      <c r="J104" s="72"/>
      <c r="K104" s="4"/>
      <c r="L104" s="17"/>
      <c r="M104" s="69"/>
      <c r="N104" s="4"/>
      <c r="O104" s="4"/>
      <c r="P104" s="4"/>
      <c r="Q104" s="4"/>
      <c r="R104" s="4"/>
      <c r="S104" s="4"/>
      <c r="T104" s="4"/>
      <c r="U104" s="4"/>
    </row>
    <row r="105" spans="1:21" ht="15" thickBot="1" x14ac:dyDescent="0.35">
      <c r="A105" s="59" t="s">
        <v>730</v>
      </c>
      <c r="B105" s="60"/>
      <c r="C105" s="60" t="s">
        <v>716</v>
      </c>
      <c r="D105" s="60"/>
      <c r="E105" s="82">
        <f>+G327</f>
        <v>0.61354116250140001</v>
      </c>
      <c r="F105" s="14">
        <v>0.60463199999999995</v>
      </c>
      <c r="G105" s="83">
        <f t="shared" si="6"/>
        <v>8.9091625014000586E-3</v>
      </c>
      <c r="H105" s="84">
        <f>+J332</f>
        <v>11632614.984887965</v>
      </c>
      <c r="I105" s="63"/>
      <c r="J105" s="72"/>
      <c r="K105" s="4"/>
      <c r="L105" s="17"/>
      <c r="M105" s="38"/>
      <c r="N105" s="4"/>
      <c r="O105" s="4"/>
      <c r="P105" s="4"/>
      <c r="Q105" s="4"/>
      <c r="R105" s="4"/>
      <c r="S105" s="4"/>
      <c r="T105" s="4"/>
      <c r="U105" s="4"/>
    </row>
    <row r="106" spans="1:21" ht="15" thickBot="1" x14ac:dyDescent="0.35">
      <c r="A106" s="4"/>
      <c r="B106" s="4"/>
      <c r="C106" s="4"/>
      <c r="D106" s="4"/>
      <c r="E106" s="31"/>
      <c r="F106" s="31"/>
      <c r="G106" s="31"/>
      <c r="H106" s="31"/>
      <c r="I106" s="4"/>
      <c r="J106" s="4"/>
      <c r="K106" s="4"/>
      <c r="L106" s="17"/>
      <c r="M106" s="38"/>
      <c r="N106" s="4"/>
      <c r="O106" s="4"/>
      <c r="P106" s="4"/>
      <c r="Q106" s="4"/>
      <c r="R106" s="4"/>
      <c r="S106" s="4"/>
      <c r="T106" s="4"/>
      <c r="U106" s="4"/>
    </row>
    <row r="107" spans="1:21" ht="15.6" x14ac:dyDescent="0.3">
      <c r="A107" s="85" t="s">
        <v>599</v>
      </c>
      <c r="B107" s="86"/>
      <c r="C107" s="86"/>
      <c r="D107" s="86"/>
      <c r="E107" s="50"/>
      <c r="F107" s="50"/>
      <c r="G107" s="87">
        <v>2023</v>
      </c>
      <c r="H107" s="87">
        <v>2022</v>
      </c>
      <c r="I107" s="19"/>
      <c r="J107" s="22"/>
      <c r="K107" s="4"/>
      <c r="L107" s="17"/>
      <c r="M107" s="38"/>
      <c r="N107" s="4"/>
      <c r="O107" s="4"/>
      <c r="P107" s="4"/>
      <c r="Q107" s="4"/>
      <c r="R107" s="4"/>
      <c r="S107" s="4"/>
      <c r="T107" s="4"/>
      <c r="U107" s="4"/>
    </row>
    <row r="108" spans="1:21" ht="15.6" x14ac:dyDescent="0.3">
      <c r="A108" s="88" t="s">
        <v>581</v>
      </c>
      <c r="B108" s="89"/>
      <c r="C108" s="89"/>
      <c r="D108" s="89"/>
      <c r="E108" s="31"/>
      <c r="F108" s="31"/>
      <c r="G108" s="24" t="s">
        <v>3</v>
      </c>
      <c r="H108" s="24" t="s">
        <v>601</v>
      </c>
      <c r="I108" s="4"/>
      <c r="J108" s="52"/>
      <c r="K108" s="4"/>
      <c r="L108" s="17"/>
      <c r="M108" s="38"/>
      <c r="N108" s="4"/>
      <c r="O108" s="4"/>
      <c r="P108" s="4"/>
      <c r="Q108" s="4"/>
      <c r="R108" s="4"/>
      <c r="S108" s="4"/>
      <c r="T108" s="4"/>
      <c r="U108" s="4"/>
    </row>
    <row r="109" spans="1:21" x14ac:dyDescent="0.3">
      <c r="A109" s="57"/>
      <c r="B109" s="4"/>
      <c r="C109" s="7"/>
      <c r="D109" s="32"/>
      <c r="E109" s="55" t="s">
        <v>78</v>
      </c>
      <c r="F109" s="55" t="s">
        <v>79</v>
      </c>
      <c r="G109" s="55" t="s">
        <v>11</v>
      </c>
      <c r="H109" s="55" t="s">
        <v>11</v>
      </c>
      <c r="I109" s="4"/>
      <c r="J109" s="90" t="s">
        <v>600</v>
      </c>
      <c r="K109" s="4"/>
      <c r="L109" s="17"/>
      <c r="M109" s="38"/>
      <c r="N109" s="4"/>
      <c r="O109" s="4"/>
      <c r="P109" s="4"/>
      <c r="Q109" s="4"/>
      <c r="R109" s="4"/>
      <c r="S109" s="4"/>
      <c r="T109" s="4"/>
      <c r="U109" s="4"/>
    </row>
    <row r="110" spans="1:21" x14ac:dyDescent="0.3">
      <c r="A110" s="57"/>
      <c r="B110" s="4"/>
      <c r="C110" s="91"/>
      <c r="D110" s="4" t="s">
        <v>506</v>
      </c>
      <c r="E110" s="92">
        <v>8639713526</v>
      </c>
      <c r="F110" s="92">
        <v>8618389234</v>
      </c>
      <c r="G110" s="92"/>
      <c r="H110" s="31"/>
      <c r="I110" s="4"/>
      <c r="J110" s="52"/>
      <c r="K110" s="4"/>
      <c r="L110" s="93" t="s">
        <v>704</v>
      </c>
      <c r="M110" s="4"/>
      <c r="N110" s="4"/>
      <c r="O110" s="80" t="s">
        <v>695</v>
      </c>
      <c r="P110" s="4"/>
      <c r="Q110" s="4"/>
      <c r="R110" s="4"/>
      <c r="S110" s="4"/>
      <c r="T110" s="4"/>
      <c r="U110" s="4"/>
    </row>
    <row r="111" spans="1:21" x14ac:dyDescent="0.3">
      <c r="A111" s="57"/>
      <c r="B111" s="4"/>
      <c r="C111" s="94"/>
      <c r="D111" s="4" t="s">
        <v>501</v>
      </c>
      <c r="E111" s="95">
        <f>0.448885+0.057998</f>
        <v>0.50688299999999997</v>
      </c>
      <c r="F111" s="95">
        <v>2.4978E-2</v>
      </c>
      <c r="G111" s="95">
        <f>SUM(E111:F111)</f>
        <v>0.53186099999999992</v>
      </c>
      <c r="H111" s="95">
        <v>0.60463199999999995</v>
      </c>
      <c r="I111" s="4"/>
      <c r="J111" s="96">
        <f t="shared" ref="J111:J116" si="7">+G111-H111</f>
        <v>-7.277100000000003E-2</v>
      </c>
      <c r="K111" s="4"/>
      <c r="L111" s="17">
        <v>511523790</v>
      </c>
      <c r="M111" s="38" t="s">
        <v>639</v>
      </c>
      <c r="N111" s="4"/>
      <c r="O111" s="17">
        <v>737815736</v>
      </c>
      <c r="P111" s="38" t="s">
        <v>639</v>
      </c>
      <c r="Q111" s="4"/>
      <c r="R111" s="17"/>
      <c r="S111" s="38"/>
      <c r="T111" s="4"/>
      <c r="U111" s="4"/>
    </row>
    <row r="112" spans="1:21" x14ac:dyDescent="0.3">
      <c r="A112" s="57"/>
      <c r="B112" s="4"/>
      <c r="C112" s="91"/>
      <c r="D112" s="4" t="s">
        <v>508</v>
      </c>
      <c r="E112" s="92">
        <f>(+E110/100)*E111</f>
        <v>43793239.111994579</v>
      </c>
      <c r="F112" s="92">
        <f>(+F110/100)*F111</f>
        <v>2152701.2628685203</v>
      </c>
      <c r="G112" s="92">
        <f>SUM(E112:F112)</f>
        <v>45945940.374863103</v>
      </c>
      <c r="H112" s="92">
        <v>41888306.350000001</v>
      </c>
      <c r="I112" s="4"/>
      <c r="J112" s="97">
        <f t="shared" si="7"/>
        <v>4057634.0248631015</v>
      </c>
      <c r="K112" s="4"/>
      <c r="L112" s="17">
        <f>+L111/100*0.490447*0.97</f>
        <v>2433490.4898710614</v>
      </c>
      <c r="M112" s="38" t="s">
        <v>643</v>
      </c>
      <c r="N112" s="4"/>
      <c r="O112" s="17">
        <f>+O111/100*0.604632*0.96</f>
        <v>4282627.2392558586</v>
      </c>
      <c r="P112" s="38" t="s">
        <v>643</v>
      </c>
      <c r="Q112" s="4"/>
      <c r="R112" s="17"/>
      <c r="S112" s="38"/>
      <c r="T112" s="4"/>
      <c r="U112" s="4"/>
    </row>
    <row r="113" spans="1:21" x14ac:dyDescent="0.3">
      <c r="A113" s="57"/>
      <c r="B113" s="4"/>
      <c r="C113" s="91"/>
      <c r="D113" s="4" t="s">
        <v>510</v>
      </c>
      <c r="E113" s="92">
        <v>2789323</v>
      </c>
      <c r="F113" s="92">
        <v>145410.67000000001</v>
      </c>
      <c r="G113" s="92">
        <f>SUM(E113:F113)</f>
        <v>2934733.67</v>
      </c>
      <c r="H113" s="92">
        <v>2514487.5099999998</v>
      </c>
      <c r="I113" s="4"/>
      <c r="J113" s="97">
        <f t="shared" si="7"/>
        <v>420246.16000000015</v>
      </c>
      <c r="K113" s="4"/>
      <c r="L113" s="17">
        <v>11569378</v>
      </c>
      <c r="M113" s="38" t="s">
        <v>705</v>
      </c>
      <c r="N113" s="4"/>
      <c r="O113" s="17">
        <f>4745941-81170</f>
        <v>4664771</v>
      </c>
      <c r="P113" s="38" t="s">
        <v>640</v>
      </c>
      <c r="Q113" s="4"/>
      <c r="R113" s="17"/>
      <c r="S113" s="38"/>
      <c r="T113" s="4"/>
      <c r="U113" s="4"/>
    </row>
    <row r="114" spans="1:21" x14ac:dyDescent="0.3">
      <c r="A114" s="57"/>
      <c r="B114" s="4"/>
      <c r="C114" s="91"/>
      <c r="D114" s="4" t="s">
        <v>507</v>
      </c>
      <c r="E114" s="92">
        <f>SUM(E112:E113)</f>
        <v>46582562.111994579</v>
      </c>
      <c r="F114" s="92">
        <f>SUM(F112:F113)</f>
        <v>2298111.9328685203</v>
      </c>
      <c r="G114" s="92">
        <f>SUM(E114:F114)</f>
        <v>48880674.044863097</v>
      </c>
      <c r="H114" s="92">
        <v>44402793.859999999</v>
      </c>
      <c r="I114" s="4"/>
      <c r="J114" s="97">
        <f t="shared" si="7"/>
        <v>4477880.184863098</v>
      </c>
      <c r="K114" s="4"/>
      <c r="L114" s="35">
        <f>+L112/L113</f>
        <v>0.21033892140710256</v>
      </c>
      <c r="M114" s="38" t="s">
        <v>641</v>
      </c>
      <c r="N114" s="4"/>
      <c r="O114" s="35">
        <v>0.91810000000000003</v>
      </c>
      <c r="P114" s="38" t="s">
        <v>641</v>
      </c>
      <c r="Q114" s="4"/>
      <c r="R114" s="35"/>
      <c r="S114" s="38"/>
      <c r="T114" s="4"/>
      <c r="U114" s="4"/>
    </row>
    <row r="115" spans="1:21" x14ac:dyDescent="0.3">
      <c r="A115" s="57"/>
      <c r="B115" s="4"/>
      <c r="C115" s="98"/>
      <c r="D115" s="4" t="s">
        <v>80</v>
      </c>
      <c r="E115" s="99">
        <v>0.97</v>
      </c>
      <c r="F115" s="99">
        <f>+E115</f>
        <v>0.97</v>
      </c>
      <c r="G115" s="99">
        <f>+E115</f>
        <v>0.97</v>
      </c>
      <c r="H115" s="99">
        <v>0.96</v>
      </c>
      <c r="I115" s="4"/>
      <c r="J115" s="100">
        <f t="shared" si="7"/>
        <v>1.0000000000000009E-2</v>
      </c>
      <c r="K115" s="4"/>
      <c r="L115" s="35"/>
      <c r="M115" s="38"/>
      <c r="N115" s="4"/>
      <c r="O115" s="35"/>
      <c r="P115" s="38"/>
      <c r="Q115" s="4"/>
      <c r="R115" s="35"/>
      <c r="S115" s="38"/>
      <c r="T115" s="4"/>
      <c r="U115" s="4"/>
    </row>
    <row r="116" spans="1:21" ht="15" thickBot="1" x14ac:dyDescent="0.35">
      <c r="A116" s="57"/>
      <c r="B116" s="4"/>
      <c r="C116" s="91"/>
      <c r="D116" s="4" t="s">
        <v>81</v>
      </c>
      <c r="E116" s="101">
        <f>+E114*E115</f>
        <v>45185085.248634741</v>
      </c>
      <c r="F116" s="101">
        <f>+F114*F115</f>
        <v>2229168.5748824645</v>
      </c>
      <c r="G116" s="101">
        <f>+G114*G115</f>
        <v>47414253.823517203</v>
      </c>
      <c r="H116" s="101">
        <f>+H114*H115</f>
        <v>42626682.105599999</v>
      </c>
      <c r="I116" s="4"/>
      <c r="J116" s="102">
        <f t="shared" si="7"/>
        <v>4787571.7179172039</v>
      </c>
      <c r="K116" s="4"/>
      <c r="L116" s="41">
        <f>4971097-2433490.49</f>
        <v>2537606.5099999998</v>
      </c>
      <c r="M116" s="38" t="s">
        <v>644</v>
      </c>
      <c r="N116" s="4"/>
      <c r="O116" s="17">
        <v>463314</v>
      </c>
      <c r="P116" s="38" t="s">
        <v>644</v>
      </c>
      <c r="Q116" s="4"/>
      <c r="R116" s="17"/>
      <c r="S116" s="38"/>
      <c r="T116" s="4"/>
      <c r="U116" s="4"/>
    </row>
    <row r="117" spans="1:21" ht="15" thickTop="1" x14ac:dyDescent="0.3">
      <c r="A117" s="57"/>
      <c r="B117" s="4"/>
      <c r="C117" s="98"/>
      <c r="D117" s="4"/>
      <c r="E117" s="92"/>
      <c r="F117" s="92"/>
      <c r="G117" s="92"/>
      <c r="H117" s="31"/>
      <c r="I117" s="4"/>
      <c r="J117" s="103"/>
      <c r="K117" s="4"/>
      <c r="L117" s="41">
        <v>-503132</v>
      </c>
      <c r="M117" s="38" t="s">
        <v>742</v>
      </c>
      <c r="N117" s="4"/>
      <c r="O117" s="104">
        <v>348895</v>
      </c>
      <c r="P117" s="38" t="s">
        <v>642</v>
      </c>
      <c r="Q117" s="4"/>
      <c r="R117" s="17"/>
      <c r="S117" s="38"/>
      <c r="T117" s="4"/>
      <c r="U117" s="4"/>
    </row>
    <row r="118" spans="1:21" x14ac:dyDescent="0.3">
      <c r="A118" s="51"/>
      <c r="B118" s="4"/>
      <c r="C118" s="98"/>
      <c r="D118" s="32" t="s">
        <v>82</v>
      </c>
      <c r="E118" s="92"/>
      <c r="F118" s="92"/>
      <c r="G118" s="92"/>
      <c r="H118" s="31"/>
      <c r="I118" s="4"/>
      <c r="J118" s="103"/>
      <c r="K118" s="4"/>
      <c r="L118" s="105">
        <v>-1389663</v>
      </c>
      <c r="M118" s="69" t="s">
        <v>743</v>
      </c>
      <c r="N118" s="4"/>
      <c r="O118" s="104">
        <v>114419</v>
      </c>
      <c r="P118" s="38"/>
      <c r="Q118" s="4"/>
      <c r="R118" s="17"/>
      <c r="S118" s="38"/>
      <c r="T118" s="4"/>
      <c r="U118" s="4"/>
    </row>
    <row r="119" spans="1:21" x14ac:dyDescent="0.3">
      <c r="A119" s="57"/>
      <c r="B119" s="4"/>
      <c r="C119" s="94"/>
      <c r="D119" s="4" t="s">
        <v>77</v>
      </c>
      <c r="E119" s="95">
        <v>0.37888500000000003</v>
      </c>
      <c r="F119" s="95">
        <f>+E119/E111</f>
        <v>0.74748018773563141</v>
      </c>
      <c r="G119" s="92">
        <f>+E116*F119</f>
        <v>33774956.004500002</v>
      </c>
      <c r="H119" s="98">
        <v>31696956.350000001</v>
      </c>
      <c r="I119" s="4"/>
      <c r="J119" s="103">
        <f>+G119-H119</f>
        <v>2077999.6545000002</v>
      </c>
      <c r="K119" s="4"/>
      <c r="L119" s="41">
        <f>SUM(L116:L118)</f>
        <v>644811.50999999978</v>
      </c>
      <c r="M119" s="69"/>
      <c r="N119" s="4"/>
      <c r="O119" s="4"/>
      <c r="P119" s="4"/>
      <c r="Q119" s="4"/>
      <c r="R119" s="4"/>
      <c r="S119" s="4"/>
      <c r="T119" s="4"/>
      <c r="U119" s="4"/>
    </row>
    <row r="120" spans="1:21" x14ac:dyDescent="0.3">
      <c r="A120" s="57"/>
      <c r="B120" s="4"/>
      <c r="C120" s="94"/>
      <c r="D120" s="4" t="s">
        <v>83</v>
      </c>
      <c r="E120" s="95">
        <v>7.0000000000000007E-2</v>
      </c>
      <c r="F120" s="95">
        <f>+E120/E111</f>
        <v>0.1380989301278599</v>
      </c>
      <c r="G120" s="92">
        <f>+E116*F120</f>
        <v>6240011.930572602</v>
      </c>
      <c r="H120" s="98">
        <v>4935057.2699999996</v>
      </c>
      <c r="I120" s="4"/>
      <c r="J120" s="103">
        <f>+G120-H120</f>
        <v>1304954.6605726024</v>
      </c>
      <c r="K120" s="4"/>
      <c r="L120" s="105">
        <f>+J113*0.97</f>
        <v>407638.77520000015</v>
      </c>
      <c r="M120" s="106" t="s">
        <v>745</v>
      </c>
      <c r="N120" s="4"/>
      <c r="O120" s="4"/>
      <c r="P120" s="4"/>
      <c r="Q120" s="4"/>
      <c r="R120" s="4"/>
      <c r="S120" s="4"/>
      <c r="T120" s="4"/>
      <c r="U120" s="4"/>
    </row>
    <row r="121" spans="1:21" x14ac:dyDescent="0.3">
      <c r="A121" s="57"/>
      <c r="B121" s="4"/>
      <c r="C121" s="94"/>
      <c r="D121" s="4" t="s">
        <v>79</v>
      </c>
      <c r="E121" s="95">
        <f>+F111</f>
        <v>2.4978E-2</v>
      </c>
      <c r="F121" s="95"/>
      <c r="G121" s="92">
        <f>+F116</f>
        <v>2229168.5748824645</v>
      </c>
      <c r="H121" s="98">
        <v>2039995.59</v>
      </c>
      <c r="I121" s="4"/>
      <c r="J121" s="103">
        <f>+G121-H121</f>
        <v>189172.9848824644</v>
      </c>
      <c r="K121" s="4"/>
      <c r="L121" s="107">
        <f>+L119-L120</f>
        <v>237172.73479999963</v>
      </c>
      <c r="M121" s="106" t="s">
        <v>744</v>
      </c>
      <c r="N121" s="4"/>
      <c r="O121" s="4"/>
      <c r="P121" s="4"/>
      <c r="Q121" s="4"/>
      <c r="R121" s="4"/>
      <c r="S121" s="4"/>
      <c r="T121" s="4"/>
      <c r="U121" s="4"/>
    </row>
    <row r="122" spans="1:21" x14ac:dyDescent="0.3">
      <c r="A122" s="57"/>
      <c r="B122" s="4"/>
      <c r="C122" s="94"/>
      <c r="D122" s="4" t="s">
        <v>84</v>
      </c>
      <c r="E122" s="108">
        <v>5.7998000000000001E-2</v>
      </c>
      <c r="F122" s="108">
        <f>+E122/E111</f>
        <v>0.11442088213650883</v>
      </c>
      <c r="G122" s="99">
        <f>+E116*F122</f>
        <v>5170117.3135621399</v>
      </c>
      <c r="H122" s="109">
        <v>3954672.89</v>
      </c>
      <c r="I122" s="4"/>
      <c r="J122" s="110">
        <f>+G122-H122</f>
        <v>1215444.4235621397</v>
      </c>
      <c r="K122" s="4"/>
      <c r="L122" s="72"/>
      <c r="M122" s="106"/>
      <c r="N122" s="4"/>
      <c r="O122" s="4"/>
      <c r="P122" s="4"/>
      <c r="Q122" s="4"/>
      <c r="R122" s="4"/>
      <c r="S122" s="4"/>
      <c r="T122" s="4"/>
      <c r="U122" s="4"/>
    </row>
    <row r="123" spans="1:21" ht="15" thickBot="1" x14ac:dyDescent="0.35">
      <c r="A123" s="59"/>
      <c r="B123" s="60"/>
      <c r="C123" s="111"/>
      <c r="D123" s="60"/>
      <c r="E123" s="112">
        <f>SUM(E119:E122)</f>
        <v>0.53186100000000003</v>
      </c>
      <c r="F123" s="112">
        <f>SUM(F119:F122)</f>
        <v>1.0000000000000002</v>
      </c>
      <c r="G123" s="113">
        <f>SUM(G119:G122)</f>
        <v>47414253.823517203</v>
      </c>
      <c r="H123" s="114">
        <f>SUM(H119:H122)</f>
        <v>42626682.100000009</v>
      </c>
      <c r="I123" s="60"/>
      <c r="J123" s="115">
        <f>SUM(J119:J122)</f>
        <v>4787571.7235172074</v>
      </c>
      <c r="K123" s="4"/>
      <c r="L123" s="17"/>
      <c r="M123" s="106"/>
      <c r="N123" s="4"/>
      <c r="O123" s="4"/>
      <c r="P123" s="4"/>
      <c r="Q123" s="4"/>
      <c r="R123" s="4"/>
      <c r="S123" s="4"/>
      <c r="T123" s="4"/>
      <c r="U123" s="4"/>
    </row>
    <row r="124" spans="1:21" ht="15" thickBot="1" x14ac:dyDescent="0.35">
      <c r="A124" s="4"/>
      <c r="B124" s="4"/>
      <c r="C124" s="94"/>
      <c r="D124" s="4"/>
      <c r="E124" s="95"/>
      <c r="F124" s="95"/>
      <c r="G124" s="92"/>
      <c r="H124" s="98"/>
      <c r="I124" s="4"/>
      <c r="J124" s="41"/>
      <c r="K124" s="4"/>
      <c r="L124" s="17"/>
      <c r="M124" s="71"/>
      <c r="N124" s="4"/>
      <c r="O124" s="4"/>
      <c r="P124" s="4"/>
      <c r="Q124" s="4"/>
      <c r="R124" s="4"/>
      <c r="S124" s="4"/>
      <c r="T124" s="4"/>
      <c r="U124" s="4"/>
    </row>
    <row r="125" spans="1:21" ht="15.6" x14ac:dyDescent="0.3">
      <c r="A125" s="85" t="s">
        <v>694</v>
      </c>
      <c r="B125" s="86"/>
      <c r="C125" s="86"/>
      <c r="D125" s="86"/>
      <c r="E125" s="116" t="s">
        <v>575</v>
      </c>
      <c r="F125" s="116"/>
      <c r="G125" s="87">
        <v>2023</v>
      </c>
      <c r="H125" s="87">
        <v>2022</v>
      </c>
      <c r="I125" s="19"/>
      <c r="J125" s="22"/>
      <c r="K125" s="4"/>
      <c r="L125" s="17">
        <v>2433000</v>
      </c>
      <c r="M125" s="17">
        <v>2433000</v>
      </c>
      <c r="N125" s="4"/>
      <c r="O125" s="4"/>
      <c r="P125" s="4"/>
      <c r="Q125" s="4"/>
      <c r="R125" s="4"/>
      <c r="S125" s="4"/>
      <c r="T125" s="4"/>
      <c r="U125" s="4"/>
    </row>
    <row r="126" spans="1:21" ht="15.6" x14ac:dyDescent="0.3">
      <c r="A126" s="117"/>
      <c r="B126" s="4"/>
      <c r="C126" s="4"/>
      <c r="D126" s="4"/>
      <c r="E126" s="92"/>
      <c r="F126" s="92"/>
      <c r="G126" s="118" t="s">
        <v>3</v>
      </c>
      <c r="H126" s="24" t="s">
        <v>601</v>
      </c>
      <c r="I126" s="4"/>
      <c r="J126" s="52"/>
      <c r="K126" s="4"/>
      <c r="L126" s="104">
        <v>3000000</v>
      </c>
      <c r="M126" s="104">
        <v>3000000</v>
      </c>
      <c r="N126" s="4"/>
      <c r="O126" s="4"/>
      <c r="P126" s="4"/>
      <c r="Q126" s="4"/>
      <c r="R126" s="4"/>
      <c r="S126" s="4"/>
      <c r="T126" s="4"/>
      <c r="U126" s="4"/>
    </row>
    <row r="127" spans="1:21" x14ac:dyDescent="0.3">
      <c r="A127" s="57"/>
      <c r="B127" s="4"/>
      <c r="C127" s="7"/>
      <c r="D127" s="32"/>
      <c r="E127" s="119" t="s">
        <v>78</v>
      </c>
      <c r="F127" s="119" t="s">
        <v>79</v>
      </c>
      <c r="G127" s="119" t="s">
        <v>11</v>
      </c>
      <c r="H127" s="55" t="s">
        <v>11</v>
      </c>
      <c r="I127" s="4"/>
      <c r="J127" s="90" t="s">
        <v>600</v>
      </c>
      <c r="K127" s="4"/>
      <c r="L127" s="17">
        <f>SUM(L125:L126)</f>
        <v>5433000</v>
      </c>
      <c r="M127" s="17">
        <f>SUM(M125:M126)</f>
        <v>5433000</v>
      </c>
      <c r="N127" s="4"/>
      <c r="O127" s="4"/>
      <c r="P127" s="4"/>
      <c r="Q127" s="4"/>
      <c r="R127" s="4"/>
      <c r="S127" s="4"/>
      <c r="T127" s="4"/>
      <c r="U127" s="4"/>
    </row>
    <row r="128" spans="1:21" x14ac:dyDescent="0.3">
      <c r="A128" s="57"/>
      <c r="B128" s="4"/>
      <c r="C128" s="91"/>
      <c r="D128" s="4" t="s">
        <v>506</v>
      </c>
      <c r="E128" s="92">
        <v>8639713526</v>
      </c>
      <c r="F128" s="92">
        <v>8618389234</v>
      </c>
      <c r="G128" s="92"/>
      <c r="H128" s="31"/>
      <c r="I128" s="4"/>
      <c r="J128" s="70"/>
      <c r="K128" s="4"/>
      <c r="L128" s="17">
        <v>9412021</v>
      </c>
      <c r="M128" s="38">
        <f>+L128-1800000</f>
        <v>7612021</v>
      </c>
      <c r="N128" s="4"/>
      <c r="O128" s="4"/>
      <c r="P128" s="4"/>
      <c r="Q128" s="4"/>
      <c r="R128" s="4"/>
      <c r="S128" s="4"/>
      <c r="T128" s="4"/>
      <c r="U128" s="4"/>
    </row>
    <row r="129" spans="1:21" x14ac:dyDescent="0.3">
      <c r="A129" s="57"/>
      <c r="B129" s="4"/>
      <c r="C129" s="94"/>
      <c r="D129" s="4" t="s">
        <v>501</v>
      </c>
      <c r="E129" s="95">
        <f>0.448885*1.005+0.057998</f>
        <v>0.50912742499999997</v>
      </c>
      <c r="F129" s="95">
        <f>0.024978*1.005</f>
        <v>2.5102889999999999E-2</v>
      </c>
      <c r="G129" s="95">
        <f>SUM(E129:F129)</f>
        <v>0.53423031499999996</v>
      </c>
      <c r="H129" s="95">
        <v>0.60463199999999995</v>
      </c>
      <c r="I129" s="4"/>
      <c r="J129" s="96">
        <f t="shared" ref="J129:J134" si="8">+G129-H129</f>
        <v>-7.0401684999999992E-2</v>
      </c>
      <c r="K129" s="4"/>
      <c r="L129" s="17">
        <f>+L127/L128</f>
        <v>0.57724053101878969</v>
      </c>
      <c r="M129" s="17">
        <f>+M127/M128</f>
        <v>0.71373949178542728</v>
      </c>
      <c r="N129" s="4"/>
      <c r="O129" s="4"/>
      <c r="P129" s="4"/>
      <c r="Q129" s="4"/>
      <c r="R129" s="4"/>
      <c r="S129" s="4"/>
      <c r="T129" s="4"/>
      <c r="U129" s="4"/>
    </row>
    <row r="130" spans="1:21" x14ac:dyDescent="0.3">
      <c r="A130" s="57"/>
      <c r="B130" s="4"/>
      <c r="C130" s="91"/>
      <c r="D130" s="4" t="s">
        <v>508</v>
      </c>
      <c r="E130" s="92">
        <f>(+E128/100)*E129</f>
        <v>43987151.002300508</v>
      </c>
      <c r="F130" s="92">
        <f>(+F128/100)*F129</f>
        <v>2163464.7691828627</v>
      </c>
      <c r="G130" s="92">
        <f>SUM(E130:F130)</f>
        <v>46150615.771483369</v>
      </c>
      <c r="H130" s="92">
        <v>41888306.350000001</v>
      </c>
      <c r="I130" s="4"/>
      <c r="J130" s="103">
        <f t="shared" si="8"/>
        <v>4262309.4214833677</v>
      </c>
      <c r="K130" s="4"/>
      <c r="L130" s="17"/>
      <c r="M130" s="38"/>
      <c r="N130" s="4"/>
      <c r="O130" s="4"/>
      <c r="P130" s="4"/>
      <c r="Q130" s="4"/>
      <c r="R130" s="4"/>
      <c r="S130" s="4"/>
      <c r="T130" s="4"/>
      <c r="U130" s="4"/>
    </row>
    <row r="131" spans="1:21" x14ac:dyDescent="0.3">
      <c r="A131" s="57"/>
      <c r="B131" s="4"/>
      <c r="C131" s="94"/>
      <c r="D131" s="4" t="s">
        <v>510</v>
      </c>
      <c r="E131" s="92">
        <v>2789323</v>
      </c>
      <c r="F131" s="92">
        <v>145410.67000000001</v>
      </c>
      <c r="G131" s="92">
        <f>SUM(E131:F131)</f>
        <v>2934733.67</v>
      </c>
      <c r="H131" s="92">
        <v>2514487.5099999998</v>
      </c>
      <c r="I131" s="4"/>
      <c r="J131" s="103">
        <f t="shared" si="8"/>
        <v>420246.16000000015</v>
      </c>
      <c r="K131" s="4"/>
      <c r="L131" s="17"/>
      <c r="M131" s="38"/>
      <c r="N131" s="4"/>
      <c r="O131" s="4"/>
      <c r="P131" s="4"/>
      <c r="Q131" s="4"/>
      <c r="R131" s="4"/>
      <c r="S131" s="4"/>
      <c r="T131" s="4"/>
      <c r="U131" s="4"/>
    </row>
    <row r="132" spans="1:21" x14ac:dyDescent="0.3">
      <c r="A132" s="57"/>
      <c r="B132" s="4"/>
      <c r="C132" s="91"/>
      <c r="D132" s="4" t="s">
        <v>507</v>
      </c>
      <c r="E132" s="92">
        <f>SUM(E130:E131)</f>
        <v>46776474.002300508</v>
      </c>
      <c r="F132" s="92">
        <f>SUM(F130:F131)</f>
        <v>2308875.4391828626</v>
      </c>
      <c r="G132" s="92">
        <f>SUM(E132:F132)</f>
        <v>49085349.441483371</v>
      </c>
      <c r="H132" s="92">
        <v>44402793.859999999</v>
      </c>
      <c r="I132" s="4"/>
      <c r="J132" s="103">
        <f t="shared" si="8"/>
        <v>4682555.5814833716</v>
      </c>
      <c r="K132" s="4"/>
      <c r="L132" s="17"/>
      <c r="M132" s="38"/>
      <c r="N132" s="4"/>
      <c r="O132" s="4"/>
      <c r="P132" s="4"/>
      <c r="Q132" s="4"/>
      <c r="R132" s="4"/>
      <c r="S132" s="4"/>
      <c r="T132" s="4"/>
      <c r="U132" s="4"/>
    </row>
    <row r="133" spans="1:21" x14ac:dyDescent="0.3">
      <c r="A133" s="57"/>
      <c r="B133" s="4"/>
      <c r="C133" s="98"/>
      <c r="D133" s="4" t="s">
        <v>80</v>
      </c>
      <c r="E133" s="99">
        <v>0.97</v>
      </c>
      <c r="F133" s="99">
        <f>+E133</f>
        <v>0.97</v>
      </c>
      <c r="G133" s="99">
        <f>+E133</f>
        <v>0.97</v>
      </c>
      <c r="H133" s="99">
        <v>0.96</v>
      </c>
      <c r="I133" s="4"/>
      <c r="J133" s="100">
        <f t="shared" si="8"/>
        <v>1.0000000000000009E-2</v>
      </c>
      <c r="K133" s="4"/>
      <c r="L133" s="17"/>
      <c r="M133" s="38"/>
      <c r="N133" s="4"/>
      <c r="O133" s="4"/>
      <c r="P133" s="4"/>
      <c r="Q133" s="4"/>
      <c r="R133" s="4"/>
      <c r="S133" s="4"/>
      <c r="T133" s="4"/>
      <c r="U133" s="4"/>
    </row>
    <row r="134" spans="1:21" ht="15" thickBot="1" x14ac:dyDescent="0.35">
      <c r="A134" s="57"/>
      <c r="B134" s="4"/>
      <c r="C134" s="91"/>
      <c r="D134" s="4" t="s">
        <v>81</v>
      </c>
      <c r="E134" s="101">
        <f>+E132*E133</f>
        <v>45373179.782231495</v>
      </c>
      <c r="F134" s="101">
        <f>+F132*F133</f>
        <v>2239609.1760073765</v>
      </c>
      <c r="G134" s="101">
        <f>+G132*G133</f>
        <v>47612788.95823887</v>
      </c>
      <c r="H134" s="101">
        <f>+H132*H133</f>
        <v>42626682.105599999</v>
      </c>
      <c r="I134" s="4"/>
      <c r="J134" s="102">
        <f t="shared" si="8"/>
        <v>4986106.8526388705</v>
      </c>
      <c r="K134" s="4"/>
      <c r="L134" s="17"/>
      <c r="M134" s="38"/>
      <c r="N134" s="4"/>
      <c r="O134" s="4"/>
      <c r="P134" s="4"/>
      <c r="Q134" s="4"/>
      <c r="R134" s="4"/>
      <c r="S134" s="4"/>
      <c r="T134" s="4"/>
      <c r="U134" s="4"/>
    </row>
    <row r="135" spans="1:21" ht="15" thickTop="1" x14ac:dyDescent="0.3">
      <c r="A135" s="57"/>
      <c r="B135" s="4"/>
      <c r="C135" s="91"/>
      <c r="D135" s="4"/>
      <c r="E135" s="92"/>
      <c r="F135" s="92"/>
      <c r="G135" s="92"/>
      <c r="H135" s="92"/>
      <c r="I135" s="4"/>
      <c r="J135" s="103"/>
      <c r="K135" s="4"/>
      <c r="L135" s="17"/>
      <c r="M135" s="38"/>
      <c r="N135" s="4"/>
      <c r="O135" s="4"/>
      <c r="P135" s="4"/>
      <c r="Q135" s="4"/>
      <c r="R135" s="4"/>
      <c r="S135" s="4"/>
      <c r="T135" s="4"/>
      <c r="U135" s="4"/>
    </row>
    <row r="136" spans="1:21" x14ac:dyDescent="0.3">
      <c r="A136" s="51"/>
      <c r="B136" s="4"/>
      <c r="C136" s="98"/>
      <c r="D136" s="32" t="s">
        <v>82</v>
      </c>
      <c r="E136" s="92"/>
      <c r="F136" s="92"/>
      <c r="G136" s="92"/>
      <c r="H136" s="31"/>
      <c r="I136" s="4"/>
      <c r="J136" s="103"/>
      <c r="K136" s="4"/>
      <c r="L136" s="17"/>
      <c r="M136" s="38"/>
      <c r="N136" s="4"/>
      <c r="O136" s="4"/>
      <c r="P136" s="4"/>
      <c r="Q136" s="4"/>
      <c r="R136" s="4"/>
      <c r="S136" s="4"/>
      <c r="T136" s="4"/>
      <c r="U136" s="4"/>
    </row>
    <row r="137" spans="1:21" x14ac:dyDescent="0.3">
      <c r="A137" s="57"/>
      <c r="B137" s="4"/>
      <c r="C137" s="94"/>
      <c r="D137" s="4" t="s">
        <v>77</v>
      </c>
      <c r="E137" s="95">
        <f>+E129-E138-E140</f>
        <v>0.38112942499999997</v>
      </c>
      <c r="F137" s="12">
        <f>+E137/E129</f>
        <v>0.74859338995537317</v>
      </c>
      <c r="G137" s="92">
        <f>+E134*F137</f>
        <v>33966062.466235273</v>
      </c>
      <c r="H137" s="98">
        <v>31696956.350000001</v>
      </c>
      <c r="I137" s="4"/>
      <c r="J137" s="103">
        <f>+G137-H137</f>
        <v>2269106.1162352711</v>
      </c>
      <c r="K137" s="4"/>
      <c r="L137" s="17"/>
      <c r="M137" s="38"/>
      <c r="N137" s="4"/>
      <c r="O137" s="4"/>
      <c r="P137" s="4"/>
      <c r="Q137" s="4"/>
      <c r="R137" s="4"/>
      <c r="S137" s="4"/>
      <c r="T137" s="4"/>
      <c r="U137" s="4"/>
    </row>
    <row r="138" spans="1:21" x14ac:dyDescent="0.3">
      <c r="A138" s="57"/>
      <c r="B138" s="4"/>
      <c r="C138" s="94"/>
      <c r="D138" s="4" t="s">
        <v>83</v>
      </c>
      <c r="E138" s="95">
        <v>7.0000000000000007E-2</v>
      </c>
      <c r="F138" s="12">
        <f>+E138/E129</f>
        <v>0.13749013815156394</v>
      </c>
      <c r="G138" s="92">
        <f>+E134*F138</f>
        <v>6238364.756634756</v>
      </c>
      <c r="H138" s="98">
        <v>4935057.2699999996</v>
      </c>
      <c r="I138" s="4"/>
      <c r="J138" s="103">
        <f>+G138-H138</f>
        <v>1303307.4866347564</v>
      </c>
      <c r="K138" s="4"/>
      <c r="L138" s="17"/>
      <c r="M138" s="38"/>
      <c r="N138" s="4"/>
      <c r="O138" s="4"/>
      <c r="P138" s="4"/>
      <c r="Q138" s="4"/>
      <c r="R138" s="4"/>
      <c r="S138" s="4"/>
      <c r="T138" s="4"/>
      <c r="U138" s="4"/>
    </row>
    <row r="139" spans="1:21" x14ac:dyDescent="0.3">
      <c r="A139" s="57"/>
      <c r="B139" s="4"/>
      <c r="C139" s="94"/>
      <c r="D139" s="4" t="s">
        <v>79</v>
      </c>
      <c r="E139" s="95">
        <f>+F129</f>
        <v>2.5102889999999999E-2</v>
      </c>
      <c r="F139" s="12"/>
      <c r="G139" s="92">
        <f>+F134</f>
        <v>2239609.1760073765</v>
      </c>
      <c r="H139" s="98">
        <v>2039995.59</v>
      </c>
      <c r="I139" s="4"/>
      <c r="J139" s="103">
        <f>+G139-H139</f>
        <v>199613.58600737643</v>
      </c>
      <c r="K139" s="4"/>
      <c r="L139" s="17"/>
      <c r="M139" s="38"/>
      <c r="N139" s="4"/>
      <c r="O139" s="4"/>
      <c r="P139" s="4"/>
      <c r="Q139" s="4"/>
      <c r="R139" s="4"/>
      <c r="S139" s="4"/>
      <c r="T139" s="4"/>
      <c r="U139" s="4"/>
    </row>
    <row r="140" spans="1:21" x14ac:dyDescent="0.3">
      <c r="A140" s="57"/>
      <c r="B140" s="4"/>
      <c r="C140" s="94"/>
      <c r="D140" s="4" t="s">
        <v>84</v>
      </c>
      <c r="E140" s="108">
        <v>5.7998000000000001E-2</v>
      </c>
      <c r="F140" s="120">
        <f>+E140/E129</f>
        <v>0.11391647189306293</v>
      </c>
      <c r="G140" s="92">
        <f>+E134*F140</f>
        <v>5168752.5593614653</v>
      </c>
      <c r="H140" s="109">
        <v>3954672.89</v>
      </c>
      <c r="I140" s="4"/>
      <c r="J140" s="110">
        <f>+G140-H140</f>
        <v>1214079.6693614651</v>
      </c>
      <c r="K140" s="4"/>
      <c r="L140" s="17"/>
      <c r="M140" s="38"/>
      <c r="N140" s="4"/>
      <c r="O140" s="4"/>
      <c r="P140" s="4"/>
      <c r="Q140" s="4"/>
      <c r="R140" s="4"/>
      <c r="S140" s="4"/>
      <c r="T140" s="4"/>
      <c r="U140" s="4"/>
    </row>
    <row r="141" spans="1:21" ht="15" thickBot="1" x14ac:dyDescent="0.35">
      <c r="A141" s="59"/>
      <c r="B141" s="60"/>
      <c r="C141" s="111"/>
      <c r="D141" s="60"/>
      <c r="E141" s="112">
        <f>SUM(E137:E140)</f>
        <v>0.53423031499999996</v>
      </c>
      <c r="F141" s="112">
        <f>SUM(F137:F140)</f>
        <v>1</v>
      </c>
      <c r="G141" s="113">
        <f>SUM(G137:G140)</f>
        <v>47612788.95823887</v>
      </c>
      <c r="H141" s="114">
        <f>SUM(H137:H140)</f>
        <v>42626682.100000009</v>
      </c>
      <c r="I141" s="60"/>
      <c r="J141" s="115">
        <f>SUM(J137:J140)</f>
        <v>4986106.8582388684</v>
      </c>
      <c r="K141" s="4"/>
      <c r="L141" s="17"/>
      <c r="M141" s="38"/>
      <c r="N141" s="4"/>
      <c r="O141" s="4"/>
      <c r="P141" s="4"/>
      <c r="Q141" s="4"/>
      <c r="R141" s="4"/>
      <c r="S141" s="4"/>
      <c r="T141" s="4"/>
      <c r="U141" s="4"/>
    </row>
    <row r="142" spans="1:21" ht="15" thickBot="1" x14ac:dyDescent="0.35">
      <c r="A142" s="4"/>
      <c r="B142" s="4"/>
      <c r="C142" s="94"/>
      <c r="D142" s="4"/>
      <c r="E142" s="95"/>
      <c r="F142" s="95"/>
      <c r="G142" s="92"/>
      <c r="H142" s="98"/>
      <c r="I142" s="4"/>
      <c r="J142" s="41"/>
      <c r="K142" s="4"/>
      <c r="L142" s="17"/>
      <c r="M142" s="38"/>
      <c r="N142" s="4"/>
      <c r="O142" s="4"/>
      <c r="P142" s="4"/>
      <c r="Q142" s="4"/>
      <c r="R142" s="4"/>
      <c r="S142" s="4"/>
      <c r="T142" s="4"/>
      <c r="U142" s="4"/>
    </row>
    <row r="143" spans="1:21" ht="15.6" x14ac:dyDescent="0.3">
      <c r="A143" s="85" t="s">
        <v>619</v>
      </c>
      <c r="B143" s="86"/>
      <c r="C143" s="86"/>
      <c r="D143" s="86"/>
      <c r="E143" s="116" t="s">
        <v>575</v>
      </c>
      <c r="F143" s="116"/>
      <c r="G143" s="87">
        <v>2023</v>
      </c>
      <c r="H143" s="87">
        <v>2022</v>
      </c>
      <c r="I143" s="19"/>
      <c r="J143" s="22"/>
      <c r="K143" s="4"/>
      <c r="L143" s="17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5.6" x14ac:dyDescent="0.3">
      <c r="A144" s="117"/>
      <c r="B144" s="4"/>
      <c r="C144" s="4"/>
      <c r="D144" s="4"/>
      <c r="E144" s="92"/>
      <c r="F144" s="92"/>
      <c r="G144" s="118" t="s">
        <v>3</v>
      </c>
      <c r="H144" s="24" t="s">
        <v>601</v>
      </c>
      <c r="I144" s="4"/>
      <c r="J144" s="52"/>
      <c r="K144" s="4"/>
      <c r="L144" s="17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3">
      <c r="A145" s="57"/>
      <c r="B145" s="4"/>
      <c r="C145" s="7"/>
      <c r="D145" s="32"/>
      <c r="E145" s="119" t="s">
        <v>78</v>
      </c>
      <c r="F145" s="119" t="s">
        <v>79</v>
      </c>
      <c r="G145" s="119" t="s">
        <v>11</v>
      </c>
      <c r="H145" s="55" t="s">
        <v>11</v>
      </c>
      <c r="I145" s="4"/>
      <c r="J145" s="90" t="s">
        <v>600</v>
      </c>
      <c r="K145" s="4"/>
      <c r="L145" s="17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3">
      <c r="A146" s="57"/>
      <c r="B146" s="4"/>
      <c r="C146" s="91"/>
      <c r="D146" s="4" t="s">
        <v>506</v>
      </c>
      <c r="E146" s="92">
        <v>8639713526</v>
      </c>
      <c r="F146" s="92">
        <v>8618389234</v>
      </c>
      <c r="G146" s="92"/>
      <c r="H146" s="31"/>
      <c r="I146" s="4"/>
      <c r="J146" s="52"/>
      <c r="K146" s="4"/>
      <c r="L146" s="17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3">
      <c r="A147" s="57"/>
      <c r="B147" s="4"/>
      <c r="C147" s="94"/>
      <c r="D147" s="4" t="s">
        <v>501</v>
      </c>
      <c r="E147" s="95">
        <f>0.448885*1.01+0.057998</f>
        <v>0.51137184999999996</v>
      </c>
      <c r="F147" s="95">
        <f>0.024978*1.01</f>
        <v>2.5227780000000002E-2</v>
      </c>
      <c r="G147" s="95">
        <f>SUM(E147:F147)</f>
        <v>0.53659962999999999</v>
      </c>
      <c r="H147" s="95">
        <v>0.60463199999999995</v>
      </c>
      <c r="I147" s="4"/>
      <c r="J147" s="96">
        <f t="shared" ref="J147:J152" si="9">+G147-H147</f>
        <v>-6.8032369999999953E-2</v>
      </c>
      <c r="K147" s="4"/>
      <c r="L147" s="17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3">
      <c r="A148" s="57"/>
      <c r="B148" s="4"/>
      <c r="C148" s="91"/>
      <c r="D148" s="4" t="s">
        <v>508</v>
      </c>
      <c r="E148" s="92">
        <f>(+E146/100)*E147</f>
        <v>44181062.89260643</v>
      </c>
      <c r="F148" s="92">
        <f>(+F146/100)*F147</f>
        <v>2174228.2754972056</v>
      </c>
      <c r="G148" s="92">
        <f>SUM(E148:F148)</f>
        <v>46355291.168103635</v>
      </c>
      <c r="H148" s="92">
        <v>41888306.350000001</v>
      </c>
      <c r="I148" s="4"/>
      <c r="J148" s="97">
        <f t="shared" si="9"/>
        <v>4466984.8181036338</v>
      </c>
      <c r="K148" s="4"/>
      <c r="L148" s="17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3">
      <c r="A149" s="57"/>
      <c r="B149" s="4"/>
      <c r="C149" s="91"/>
      <c r="D149" s="4" t="s">
        <v>510</v>
      </c>
      <c r="E149" s="92">
        <v>2789323</v>
      </c>
      <c r="F149" s="92">
        <v>145410.67000000001</v>
      </c>
      <c r="G149" s="92">
        <f>SUM(E149:F149)</f>
        <v>2934733.67</v>
      </c>
      <c r="H149" s="92">
        <v>2514487.5099999998</v>
      </c>
      <c r="I149" s="4"/>
      <c r="J149" s="97">
        <f t="shared" si="9"/>
        <v>420246.16000000015</v>
      </c>
      <c r="K149" s="4"/>
      <c r="L149" s="17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3">
      <c r="A150" s="57"/>
      <c r="B150" s="4"/>
      <c r="C150" s="91"/>
      <c r="D150" s="4" t="s">
        <v>507</v>
      </c>
      <c r="E150" s="92">
        <f>SUM(E148:E149)</f>
        <v>46970385.89260643</v>
      </c>
      <c r="F150" s="92">
        <f>SUM(F148:F149)</f>
        <v>2319638.9454972055</v>
      </c>
      <c r="G150" s="92">
        <f>SUM(E150:F150)</f>
        <v>49290024.838103637</v>
      </c>
      <c r="H150" s="92">
        <v>44402793.859999999</v>
      </c>
      <c r="I150" s="4"/>
      <c r="J150" s="97">
        <f t="shared" si="9"/>
        <v>4887230.9781036377</v>
      </c>
      <c r="K150" s="4"/>
      <c r="L150" s="17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3">
      <c r="A151" s="57"/>
      <c r="B151" s="4"/>
      <c r="C151" s="98"/>
      <c r="D151" s="4" t="s">
        <v>80</v>
      </c>
      <c r="E151" s="99">
        <v>0.97</v>
      </c>
      <c r="F151" s="99">
        <f>+E151</f>
        <v>0.97</v>
      </c>
      <c r="G151" s="99">
        <f>+E151</f>
        <v>0.97</v>
      </c>
      <c r="H151" s="99">
        <v>0.96</v>
      </c>
      <c r="I151" s="4"/>
      <c r="J151" s="100">
        <f t="shared" si="9"/>
        <v>1.0000000000000009E-2</v>
      </c>
      <c r="K151" s="4"/>
      <c r="L151" s="17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5" thickBot="1" x14ac:dyDescent="0.35">
      <c r="A152" s="57"/>
      <c r="B152" s="4"/>
      <c r="C152" s="91"/>
      <c r="D152" s="4" t="s">
        <v>81</v>
      </c>
      <c r="E152" s="101">
        <f>+E150*E151</f>
        <v>45561274.315828234</v>
      </c>
      <c r="F152" s="101">
        <f>+F150*F151</f>
        <v>2250049.7771322895</v>
      </c>
      <c r="G152" s="101">
        <f>+G150*G151</f>
        <v>47811324.092960529</v>
      </c>
      <c r="H152" s="101">
        <f>+H150*H151</f>
        <v>42626682.105599999</v>
      </c>
      <c r="I152" s="4"/>
      <c r="J152" s="102">
        <f t="shared" si="9"/>
        <v>5184641.9873605296</v>
      </c>
      <c r="K152" s="4"/>
      <c r="L152" s="17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5" thickTop="1" x14ac:dyDescent="0.3">
      <c r="A153" s="57"/>
      <c r="B153" s="4"/>
      <c r="C153" s="98"/>
      <c r="D153" s="4"/>
      <c r="E153" s="92"/>
      <c r="F153" s="92"/>
      <c r="G153" s="92"/>
      <c r="H153" s="31"/>
      <c r="I153" s="4"/>
      <c r="J153" s="103"/>
      <c r="K153" s="4"/>
      <c r="L153" s="17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51"/>
      <c r="B154" s="4"/>
      <c r="C154" s="98"/>
      <c r="D154" s="32" t="s">
        <v>82</v>
      </c>
      <c r="E154" s="92"/>
      <c r="F154" s="92"/>
      <c r="G154" s="92"/>
      <c r="H154" s="31"/>
      <c r="I154" s="4"/>
      <c r="J154" s="103"/>
      <c r="K154" s="4"/>
      <c r="L154" s="17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3">
      <c r="A155" s="57"/>
      <c r="B155" s="4"/>
      <c r="C155" s="94"/>
      <c r="D155" s="4" t="s">
        <v>77</v>
      </c>
      <c r="E155" s="95">
        <f>+E147-E156-E158</f>
        <v>0.38337384999999996</v>
      </c>
      <c r="F155" s="95">
        <f>+E155/E147</f>
        <v>0.74969682042529329</v>
      </c>
      <c r="G155" s="92">
        <f>+E152*F155</f>
        <v>34157142.489101008</v>
      </c>
      <c r="H155" s="98">
        <v>31696956.350000001</v>
      </c>
      <c r="I155" s="4"/>
      <c r="J155" s="103">
        <f>+G155-H155</f>
        <v>2460186.1391010061</v>
      </c>
      <c r="K155" s="4"/>
      <c r="L155" s="17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3">
      <c r="A156" s="57"/>
      <c r="B156" s="4"/>
      <c r="C156" s="94"/>
      <c r="D156" s="4" t="s">
        <v>83</v>
      </c>
      <c r="E156" s="95">
        <v>7.0000000000000007E-2</v>
      </c>
      <c r="F156" s="95">
        <f>+E156/E147</f>
        <v>0.1368866901844519</v>
      </c>
      <c r="G156" s="92">
        <f>+E152*F156</f>
        <v>6236732.0416796049</v>
      </c>
      <c r="H156" s="98">
        <v>4935057.2699999996</v>
      </c>
      <c r="I156" s="4"/>
      <c r="J156" s="103">
        <f>+G156-H156</f>
        <v>1301674.7716796054</v>
      </c>
      <c r="K156" s="4"/>
      <c r="L156" s="17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3">
      <c r="A157" s="57"/>
      <c r="B157" s="4"/>
      <c r="C157" s="94"/>
      <c r="D157" s="4" t="s">
        <v>79</v>
      </c>
      <c r="E157" s="95">
        <f>+F147</f>
        <v>2.5227780000000002E-2</v>
      </c>
      <c r="F157" s="95"/>
      <c r="G157" s="92">
        <f>+F152</f>
        <v>2250049.7771322895</v>
      </c>
      <c r="H157" s="98">
        <v>2039995.59</v>
      </c>
      <c r="I157" s="4"/>
      <c r="J157" s="103">
        <f>+G157-H157</f>
        <v>210054.1871322894</v>
      </c>
      <c r="K157" s="4"/>
      <c r="L157" s="17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3">
      <c r="A158" s="57"/>
      <c r="B158" s="4"/>
      <c r="C158" s="94"/>
      <c r="D158" s="4" t="s">
        <v>84</v>
      </c>
      <c r="E158" s="108">
        <v>5.7998000000000001E-2</v>
      </c>
      <c r="F158" s="108">
        <f>+E158/E147</f>
        <v>0.11341648939025487</v>
      </c>
      <c r="G158" s="99">
        <f>+E152*F158</f>
        <v>5167399.7850476243</v>
      </c>
      <c r="H158" s="109">
        <v>3954672.89</v>
      </c>
      <c r="I158" s="4"/>
      <c r="J158" s="110">
        <f>+G158-H158</f>
        <v>1212726.8950476241</v>
      </c>
      <c r="K158" s="4"/>
      <c r="L158" s="17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5" thickBot="1" x14ac:dyDescent="0.35">
      <c r="A159" s="59"/>
      <c r="B159" s="60"/>
      <c r="C159" s="111"/>
      <c r="D159" s="60"/>
      <c r="E159" s="112">
        <f>SUM(E155:E158)</f>
        <v>0.53659962999999999</v>
      </c>
      <c r="F159" s="112">
        <f>SUM(F155:F158)</f>
        <v>1</v>
      </c>
      <c r="G159" s="113">
        <f>SUM(G155:G158)</f>
        <v>47811324.092960522</v>
      </c>
      <c r="H159" s="114">
        <f>SUM(H155:H158)</f>
        <v>42626682.100000009</v>
      </c>
      <c r="I159" s="60"/>
      <c r="J159" s="115">
        <f>SUM(J155:J158)</f>
        <v>5184641.9929605257</v>
      </c>
      <c r="K159" s="4"/>
      <c r="L159" s="17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5" thickBot="1" x14ac:dyDescent="0.35">
      <c r="A160" s="4"/>
      <c r="B160" s="4"/>
      <c r="C160" s="94"/>
      <c r="D160" s="4"/>
      <c r="E160" s="95"/>
      <c r="F160" s="95"/>
      <c r="G160" s="92"/>
      <c r="H160" s="98"/>
      <c r="I160" s="4"/>
      <c r="J160" s="41"/>
      <c r="K160" s="4"/>
      <c r="L160" s="17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5.6" x14ac:dyDescent="0.3">
      <c r="A161" s="85" t="s">
        <v>635</v>
      </c>
      <c r="B161" s="86"/>
      <c r="C161" s="86"/>
      <c r="D161" s="86"/>
      <c r="E161" s="116" t="s">
        <v>575</v>
      </c>
      <c r="F161" s="116"/>
      <c r="G161" s="87">
        <v>2023</v>
      </c>
      <c r="H161" s="87">
        <v>2022</v>
      </c>
      <c r="I161" s="19"/>
      <c r="J161" s="22"/>
      <c r="K161" s="4"/>
      <c r="L161" s="17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5.6" x14ac:dyDescent="0.3">
      <c r="A162" s="117"/>
      <c r="B162" s="4"/>
      <c r="C162" s="4"/>
      <c r="D162" s="4"/>
      <c r="E162" s="92"/>
      <c r="F162" s="92"/>
      <c r="G162" s="118" t="s">
        <v>3</v>
      </c>
      <c r="H162" s="24" t="s">
        <v>601</v>
      </c>
      <c r="I162" s="4"/>
      <c r="J162" s="52"/>
      <c r="K162" s="4"/>
      <c r="L162" s="17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3">
      <c r="A163" s="57"/>
      <c r="B163" s="4"/>
      <c r="C163" s="7"/>
      <c r="D163" s="32"/>
      <c r="E163" s="119" t="s">
        <v>78</v>
      </c>
      <c r="F163" s="119" t="s">
        <v>79</v>
      </c>
      <c r="G163" s="119" t="s">
        <v>11</v>
      </c>
      <c r="H163" s="55" t="s">
        <v>11</v>
      </c>
      <c r="I163" s="4"/>
      <c r="J163" s="90" t="s">
        <v>600</v>
      </c>
      <c r="K163" s="4"/>
      <c r="L163" s="17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3">
      <c r="A164" s="57"/>
      <c r="B164" s="4"/>
      <c r="C164" s="91"/>
      <c r="D164" s="4" t="s">
        <v>506</v>
      </c>
      <c r="E164" s="92">
        <v>8639713526</v>
      </c>
      <c r="F164" s="92">
        <v>8618389234</v>
      </c>
      <c r="G164" s="92"/>
      <c r="H164" s="31"/>
      <c r="I164" s="4"/>
      <c r="J164" s="52"/>
      <c r="K164" s="4"/>
      <c r="L164" s="17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3">
      <c r="A165" s="57"/>
      <c r="B165" s="4"/>
      <c r="C165" s="94"/>
      <c r="D165" s="4" t="s">
        <v>501</v>
      </c>
      <c r="E165" s="95">
        <f>0.448885*1.015+0.057998</f>
        <v>0.51361627499999996</v>
      </c>
      <c r="F165" s="95">
        <f>0.024978*1.015</f>
        <v>2.5352669999999997E-2</v>
      </c>
      <c r="G165" s="95">
        <f>SUM(E165:F165)</f>
        <v>0.53896894499999992</v>
      </c>
      <c r="H165" s="95">
        <v>0.60463199999999995</v>
      </c>
      <c r="I165" s="4"/>
      <c r="J165" s="96">
        <f t="shared" ref="J165:J170" si="10">+G165-H165</f>
        <v>-6.5663055000000026E-2</v>
      </c>
      <c r="K165" s="4"/>
      <c r="L165" s="17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3">
      <c r="A166" s="57"/>
      <c r="B166" s="4"/>
      <c r="C166" s="91"/>
      <c r="D166" s="4" t="s">
        <v>508</v>
      </c>
      <c r="E166" s="92">
        <f>(+E164/100)*E165</f>
        <v>44374974.782912359</v>
      </c>
      <c r="F166" s="92">
        <f>(+F164/100)*F165</f>
        <v>2184991.7818115475</v>
      </c>
      <c r="G166" s="92">
        <f>SUM(E166:F166)</f>
        <v>46559966.564723909</v>
      </c>
      <c r="H166" s="92">
        <v>41888306.350000001</v>
      </c>
      <c r="I166" s="4"/>
      <c r="J166" s="97">
        <f t="shared" si="10"/>
        <v>4671660.2147239074</v>
      </c>
      <c r="K166" s="4"/>
      <c r="L166" s="17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3">
      <c r="A167" s="57"/>
      <c r="B167" s="4"/>
      <c r="C167" s="91"/>
      <c r="D167" s="4" t="s">
        <v>510</v>
      </c>
      <c r="E167" s="92">
        <v>2789323</v>
      </c>
      <c r="F167" s="92">
        <v>145410.67000000001</v>
      </c>
      <c r="G167" s="92">
        <f>SUM(E167:F167)</f>
        <v>2934733.67</v>
      </c>
      <c r="H167" s="92">
        <v>2514487.5099999998</v>
      </c>
      <c r="I167" s="4"/>
      <c r="J167" s="97">
        <f t="shared" si="10"/>
        <v>420246.16000000015</v>
      </c>
      <c r="K167" s="4"/>
      <c r="L167" s="17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3">
      <c r="A168" s="57"/>
      <c r="B168" s="4"/>
      <c r="C168" s="91"/>
      <c r="D168" s="4" t="s">
        <v>507</v>
      </c>
      <c r="E168" s="92">
        <f>SUM(E166:E167)</f>
        <v>47164297.782912359</v>
      </c>
      <c r="F168" s="92">
        <f>SUM(F166:F167)</f>
        <v>2330402.4518115474</v>
      </c>
      <c r="G168" s="92">
        <f>SUM(E168:F168)</f>
        <v>49494700.234723903</v>
      </c>
      <c r="H168" s="92">
        <v>44402793.859999999</v>
      </c>
      <c r="I168" s="4"/>
      <c r="J168" s="97">
        <f t="shared" si="10"/>
        <v>5091906.3747239038</v>
      </c>
      <c r="K168" s="4"/>
      <c r="L168" s="17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3">
      <c r="A169" s="57"/>
      <c r="B169" s="4"/>
      <c r="C169" s="98"/>
      <c r="D169" s="4" t="s">
        <v>80</v>
      </c>
      <c r="E169" s="99">
        <v>0.97</v>
      </c>
      <c r="F169" s="99">
        <f>+E169</f>
        <v>0.97</v>
      </c>
      <c r="G169" s="99">
        <f>+E169</f>
        <v>0.97</v>
      </c>
      <c r="H169" s="99">
        <v>0.96</v>
      </c>
      <c r="I169" s="4"/>
      <c r="J169" s="100">
        <f t="shared" si="10"/>
        <v>1.0000000000000009E-2</v>
      </c>
      <c r="K169" s="4"/>
      <c r="L169" s="17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5" thickBot="1" x14ac:dyDescent="0.35">
      <c r="A170" s="57"/>
      <c r="B170" s="4"/>
      <c r="C170" s="91"/>
      <c r="D170" s="4" t="s">
        <v>81</v>
      </c>
      <c r="E170" s="101">
        <f>+E168*E169</f>
        <v>45749368.849424988</v>
      </c>
      <c r="F170" s="101">
        <f>+F168*F169</f>
        <v>2260490.3782572011</v>
      </c>
      <c r="G170" s="101">
        <f>+G168*G169</f>
        <v>48009859.227682188</v>
      </c>
      <c r="H170" s="101">
        <f>+H168*H169</f>
        <v>42626682.105599999</v>
      </c>
      <c r="I170" s="4"/>
      <c r="J170" s="102">
        <f t="shared" si="10"/>
        <v>5383177.1220821887</v>
      </c>
      <c r="K170" s="4"/>
      <c r="L170" s="17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5" thickTop="1" x14ac:dyDescent="0.3">
      <c r="A171" s="57"/>
      <c r="B171" s="4"/>
      <c r="C171" s="98"/>
      <c r="D171" s="4"/>
      <c r="E171" s="92"/>
      <c r="F171" s="92"/>
      <c r="G171" s="92"/>
      <c r="H171" s="31"/>
      <c r="I171" s="4"/>
      <c r="J171" s="103"/>
      <c r="K171" s="4"/>
      <c r="L171" s="17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3">
      <c r="A172" s="51"/>
      <c r="B172" s="4"/>
      <c r="C172" s="98"/>
      <c r="D172" s="32" t="s">
        <v>82</v>
      </c>
      <c r="E172" s="92"/>
      <c r="F172" s="92"/>
      <c r="G172" s="92"/>
      <c r="H172" s="31"/>
      <c r="I172" s="4"/>
      <c r="J172" s="103"/>
      <c r="K172" s="4"/>
      <c r="L172" s="17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3">
      <c r="A173" s="57"/>
      <c r="B173" s="4"/>
      <c r="C173" s="94"/>
      <c r="D173" s="4" t="s">
        <v>77</v>
      </c>
      <c r="E173" s="95">
        <f>+E165-E174-E176</f>
        <v>0.38561827499999995</v>
      </c>
      <c r="F173" s="95">
        <f>+E173/E165</f>
        <v>0.75079060724857283</v>
      </c>
      <c r="G173" s="92">
        <f>+E170*F173</f>
        <v>34348196.41969873</v>
      </c>
      <c r="H173" s="98">
        <v>31696956.350000001</v>
      </c>
      <c r="I173" s="4"/>
      <c r="J173" s="103">
        <f>+G173-H173</f>
        <v>2651240.0696987286</v>
      </c>
      <c r="K173" s="4"/>
      <c r="L173" s="17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3">
      <c r="A174" s="57"/>
      <c r="B174" s="4"/>
      <c r="C174" s="94"/>
      <c r="D174" s="4" t="s">
        <v>83</v>
      </c>
      <c r="E174" s="95">
        <v>7.0000000000000007E-2</v>
      </c>
      <c r="F174" s="95">
        <f>+E174/E165</f>
        <v>0.13628851616900187</v>
      </c>
      <c r="G174" s="92">
        <f>+E170*F174</f>
        <v>6235113.5961564882</v>
      </c>
      <c r="H174" s="98">
        <v>4935057.2699999996</v>
      </c>
      <c r="I174" s="4"/>
      <c r="J174" s="103">
        <f>+G174-H174</f>
        <v>1300056.3261564886</v>
      </c>
      <c r="K174" s="4"/>
      <c r="L174" s="17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3">
      <c r="A175" s="57"/>
      <c r="B175" s="4"/>
      <c r="C175" s="94"/>
      <c r="D175" s="4" t="s">
        <v>79</v>
      </c>
      <c r="E175" s="95">
        <f>+F165</f>
        <v>2.5352669999999997E-2</v>
      </c>
      <c r="F175" s="95"/>
      <c r="G175" s="92">
        <f>+F170</f>
        <v>2260490.3782572011</v>
      </c>
      <c r="H175" s="98">
        <v>2039995.59</v>
      </c>
      <c r="I175" s="4"/>
      <c r="J175" s="103">
        <f>+G175-H175</f>
        <v>220494.78825720097</v>
      </c>
      <c r="K175" s="4"/>
      <c r="L175" s="17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3">
      <c r="A176" s="57"/>
      <c r="B176" s="4"/>
      <c r="C176" s="94"/>
      <c r="D176" s="4" t="s">
        <v>84</v>
      </c>
      <c r="E176" s="108">
        <v>5.7998000000000001E-2</v>
      </c>
      <c r="F176" s="108">
        <f>+E176/E165</f>
        <v>0.11292087658242529</v>
      </c>
      <c r="G176" s="99">
        <f>+E170*F176</f>
        <v>5166058.8335697716</v>
      </c>
      <c r="H176" s="109">
        <v>3954672.89</v>
      </c>
      <c r="I176" s="4"/>
      <c r="J176" s="110">
        <f>+G176-H176</f>
        <v>1211385.9435697715</v>
      </c>
      <c r="K176" s="4"/>
      <c r="L176" s="17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5" thickBot="1" x14ac:dyDescent="0.35">
      <c r="A177" s="59"/>
      <c r="B177" s="60"/>
      <c r="C177" s="111"/>
      <c r="D177" s="60"/>
      <c r="E177" s="112">
        <f>SUM(E173:E176)</f>
        <v>0.53896894500000003</v>
      </c>
      <c r="F177" s="112">
        <f>SUM(F173:F176)</f>
        <v>1</v>
      </c>
      <c r="G177" s="113">
        <f>SUM(G173:G176)</f>
        <v>48009859.227682188</v>
      </c>
      <c r="H177" s="114">
        <f>SUM(H173:H176)</f>
        <v>42626682.100000009</v>
      </c>
      <c r="I177" s="60"/>
      <c r="J177" s="115">
        <f>SUM(J173:J176)</f>
        <v>5383177.1276821904</v>
      </c>
      <c r="K177" s="4"/>
      <c r="L177" s="17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5" thickBot="1" x14ac:dyDescent="0.35">
      <c r="A178" s="60"/>
      <c r="B178" s="4"/>
      <c r="C178" s="94"/>
      <c r="D178" s="4"/>
      <c r="E178" s="95"/>
      <c r="F178" s="95"/>
      <c r="G178" s="92"/>
      <c r="H178" s="98"/>
      <c r="I178" s="4"/>
      <c r="J178" s="121"/>
      <c r="K178" s="4"/>
      <c r="L178" s="17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5.6" x14ac:dyDescent="0.3">
      <c r="A179" s="85" t="s">
        <v>618</v>
      </c>
      <c r="B179" s="86"/>
      <c r="C179" s="86"/>
      <c r="D179" s="86"/>
      <c r="E179" s="50"/>
      <c r="F179" s="50"/>
      <c r="G179" s="87">
        <v>2023</v>
      </c>
      <c r="H179" s="87">
        <v>2022</v>
      </c>
      <c r="I179" s="19"/>
      <c r="J179" s="8"/>
      <c r="K179" s="4"/>
      <c r="L179" s="17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5.6" x14ac:dyDescent="0.3">
      <c r="A180" s="117"/>
      <c r="B180" s="4"/>
      <c r="C180" s="4"/>
      <c r="D180" s="4"/>
      <c r="E180" s="31"/>
      <c r="F180" s="31"/>
      <c r="G180" s="24" t="s">
        <v>3</v>
      </c>
      <c r="H180" s="24" t="s">
        <v>601</v>
      </c>
      <c r="I180" s="4"/>
      <c r="J180" s="9" t="s">
        <v>6</v>
      </c>
      <c r="K180" s="4"/>
      <c r="L180" s="17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3">
      <c r="A181" s="57"/>
      <c r="B181" s="4"/>
      <c r="C181" s="7"/>
      <c r="D181" s="32"/>
      <c r="E181" s="55" t="s">
        <v>78</v>
      </c>
      <c r="F181" s="55" t="s">
        <v>79</v>
      </c>
      <c r="G181" s="55" t="s">
        <v>11</v>
      </c>
      <c r="H181" s="55" t="s">
        <v>11</v>
      </c>
      <c r="I181" s="4"/>
      <c r="J181" s="10" t="s">
        <v>13</v>
      </c>
      <c r="K181" s="4"/>
      <c r="L181" s="17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57"/>
      <c r="B182" s="4"/>
      <c r="C182" s="91"/>
      <c r="D182" s="4" t="s">
        <v>506</v>
      </c>
      <c r="E182" s="92">
        <v>8639713526</v>
      </c>
      <c r="F182" s="92">
        <v>8618389234</v>
      </c>
      <c r="G182" s="92"/>
      <c r="H182" s="31"/>
      <c r="I182" s="4"/>
      <c r="J182" s="52"/>
      <c r="K182" s="4"/>
      <c r="L182" s="17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57"/>
      <c r="B183" s="4"/>
      <c r="C183" s="94"/>
      <c r="D183" s="4" t="s">
        <v>501</v>
      </c>
      <c r="E183" s="95">
        <f>0.448885*1.02+0.057998</f>
        <v>0.51586070000000006</v>
      </c>
      <c r="F183" s="95">
        <f>0.024978*1.02</f>
        <v>2.547756E-2</v>
      </c>
      <c r="G183" s="95">
        <f>SUM(E183:F183)</f>
        <v>0.54133826000000007</v>
      </c>
      <c r="H183" s="95">
        <v>0.60463199999999995</v>
      </c>
      <c r="I183" s="4"/>
      <c r="J183" s="96">
        <f t="shared" ref="J183:J188" si="11">+G183-H183</f>
        <v>-6.3293739999999876E-2</v>
      </c>
      <c r="K183" s="4"/>
      <c r="L183" s="17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3">
      <c r="A184" s="57"/>
      <c r="B184" s="4"/>
      <c r="C184" s="91"/>
      <c r="D184" s="4" t="s">
        <v>508</v>
      </c>
      <c r="E184" s="92">
        <f>(+E182/100)*E183</f>
        <v>44568886.673218288</v>
      </c>
      <c r="F184" s="92">
        <f>(+F182/100)*F183</f>
        <v>2195755.2881258903</v>
      </c>
      <c r="G184" s="92">
        <f>SUM(E184:F184)</f>
        <v>46764641.961344175</v>
      </c>
      <c r="H184" s="92">
        <v>41888306.350000001</v>
      </c>
      <c r="I184" s="4"/>
      <c r="J184" s="97">
        <f t="shared" si="11"/>
        <v>4876335.6113441736</v>
      </c>
      <c r="K184" s="4"/>
      <c r="L184" s="17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3">
      <c r="A185" s="57"/>
      <c r="B185" s="4"/>
      <c r="C185" s="91"/>
      <c r="D185" s="4" t="s">
        <v>510</v>
      </c>
      <c r="E185" s="92">
        <v>2789323</v>
      </c>
      <c r="F185" s="92">
        <v>145410.67000000001</v>
      </c>
      <c r="G185" s="92">
        <f>SUM(E185:F185)</f>
        <v>2934733.67</v>
      </c>
      <c r="H185" s="92">
        <v>2514487.5099999998</v>
      </c>
      <c r="I185" s="4"/>
      <c r="J185" s="97">
        <f t="shared" si="11"/>
        <v>420246.16000000015</v>
      </c>
      <c r="K185" s="4"/>
      <c r="L185" s="17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3">
      <c r="A186" s="57"/>
      <c r="B186" s="4"/>
      <c r="C186" s="91"/>
      <c r="D186" s="4" t="s">
        <v>507</v>
      </c>
      <c r="E186" s="92">
        <f>SUM(E184:E185)</f>
        <v>47358209.673218288</v>
      </c>
      <c r="F186" s="92">
        <f>SUM(F184:F185)</f>
        <v>2341165.9581258902</v>
      </c>
      <c r="G186" s="92">
        <f>SUM(E186:F186)</f>
        <v>49699375.631344177</v>
      </c>
      <c r="H186" s="92">
        <v>44402793.859999999</v>
      </c>
      <c r="I186" s="4"/>
      <c r="J186" s="97">
        <f t="shared" si="11"/>
        <v>5296581.7713441774</v>
      </c>
      <c r="K186" s="4"/>
      <c r="L186" s="17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3">
      <c r="A187" s="57"/>
      <c r="B187" s="4"/>
      <c r="C187" s="98"/>
      <c r="D187" s="4" t="s">
        <v>80</v>
      </c>
      <c r="E187" s="99">
        <v>0.97</v>
      </c>
      <c r="F187" s="99">
        <f>+E187</f>
        <v>0.97</v>
      </c>
      <c r="G187" s="99">
        <f>+E187</f>
        <v>0.97</v>
      </c>
      <c r="H187" s="99">
        <v>0.96</v>
      </c>
      <c r="I187" s="4"/>
      <c r="J187" s="100">
        <f t="shared" si="11"/>
        <v>1.0000000000000009E-2</v>
      </c>
      <c r="K187" s="4"/>
      <c r="L187" s="17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5" thickBot="1" x14ac:dyDescent="0.35">
      <c r="A188" s="57"/>
      <c r="B188" s="4"/>
      <c r="C188" s="91"/>
      <c r="D188" s="4" t="s">
        <v>81</v>
      </c>
      <c r="E188" s="101">
        <f>+E186*E187</f>
        <v>45937463.383021735</v>
      </c>
      <c r="F188" s="101">
        <f>+F186*F187</f>
        <v>2270930.9793821136</v>
      </c>
      <c r="G188" s="101">
        <f>+G186*G187</f>
        <v>48208394.362403847</v>
      </c>
      <c r="H188" s="101">
        <f>+H186*H187</f>
        <v>42626682.105599999</v>
      </c>
      <c r="I188" s="4"/>
      <c r="J188" s="102">
        <f t="shared" si="11"/>
        <v>5581712.2568038478</v>
      </c>
      <c r="K188" s="4"/>
      <c r="L188" s="17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5" thickTop="1" x14ac:dyDescent="0.3">
      <c r="A189" s="57"/>
      <c r="B189" s="4"/>
      <c r="C189" s="98"/>
      <c r="D189" s="4"/>
      <c r="E189" s="92"/>
      <c r="F189" s="92"/>
      <c r="G189" s="92"/>
      <c r="H189" s="31"/>
      <c r="I189" s="4"/>
      <c r="J189" s="103"/>
      <c r="K189" s="4"/>
      <c r="L189" s="17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3">
      <c r="A190" s="51"/>
      <c r="B190" s="4"/>
      <c r="C190" s="98"/>
      <c r="D190" s="32" t="s">
        <v>82</v>
      </c>
      <c r="E190" s="92"/>
      <c r="F190" s="92"/>
      <c r="G190" s="92"/>
      <c r="H190" s="31"/>
      <c r="I190" s="4"/>
      <c r="J190" s="103"/>
      <c r="K190" s="4"/>
      <c r="L190" s="17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3">
      <c r="A191" s="57"/>
      <c r="B191" s="4"/>
      <c r="C191" s="94"/>
      <c r="D191" s="4" t="s">
        <v>77</v>
      </c>
      <c r="E191" s="95">
        <f>+E183-E192-E194</f>
        <v>0.38786270000000006</v>
      </c>
      <c r="F191" s="95">
        <f>+E191/E183</f>
        <v>0.75187487629896987</v>
      </c>
      <c r="G191" s="92">
        <f>+E188*F191</f>
        <v>34539224.598597921</v>
      </c>
      <c r="H191" s="98">
        <v>31696956.350000001</v>
      </c>
      <c r="I191" s="4"/>
      <c r="J191" s="103">
        <f>+G191-H191</f>
        <v>2842268.2485979199</v>
      </c>
      <c r="K191" s="4"/>
      <c r="L191" s="17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3">
      <c r="A192" s="57"/>
      <c r="B192" s="4"/>
      <c r="C192" s="94"/>
      <c r="D192" s="4" t="s">
        <v>83</v>
      </c>
      <c r="E192" s="95">
        <v>7.0000000000000007E-2</v>
      </c>
      <c r="F192" s="95">
        <f>+E192/E183</f>
        <v>0.1356955472669269</v>
      </c>
      <c r="G192" s="92">
        <f>+E188*F192</f>
        <v>6233509.2338135494</v>
      </c>
      <c r="H192" s="98">
        <v>4935057.2699999996</v>
      </c>
      <c r="I192" s="4"/>
      <c r="J192" s="103">
        <f>+G192-H192</f>
        <v>1298451.9638135498</v>
      </c>
      <c r="K192" s="4"/>
      <c r="L192" s="17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3">
      <c r="A193" s="57"/>
      <c r="B193" s="4"/>
      <c r="C193" s="94"/>
      <c r="D193" s="4" t="s">
        <v>79</v>
      </c>
      <c r="E193" s="95">
        <f>+F183</f>
        <v>2.547756E-2</v>
      </c>
      <c r="F193" s="95"/>
      <c r="G193" s="92">
        <f>+F188</f>
        <v>2270930.9793821136</v>
      </c>
      <c r="H193" s="98">
        <v>2039995.59</v>
      </c>
      <c r="I193" s="4"/>
      <c r="J193" s="103">
        <f>+G193-H193</f>
        <v>230935.38938211347</v>
      </c>
      <c r="K193" s="4"/>
      <c r="L193" s="17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3">
      <c r="A194" s="57"/>
      <c r="B194" s="4"/>
      <c r="C194" s="94"/>
      <c r="D194" s="4" t="s">
        <v>84</v>
      </c>
      <c r="E194" s="108">
        <v>5.7998000000000001E-2</v>
      </c>
      <c r="F194" s="108">
        <f>+E194/E183</f>
        <v>0.11242957643410323</v>
      </c>
      <c r="G194" s="99">
        <f>+E188*F194</f>
        <v>5164729.5506102601</v>
      </c>
      <c r="H194" s="109">
        <v>3954672.89</v>
      </c>
      <c r="I194" s="4"/>
      <c r="J194" s="110">
        <f>+G194-H194</f>
        <v>1210056.66061026</v>
      </c>
      <c r="K194" s="4"/>
      <c r="L194" s="17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5" thickBot="1" x14ac:dyDescent="0.35">
      <c r="A195" s="59"/>
      <c r="B195" s="60"/>
      <c r="C195" s="111"/>
      <c r="D195" s="60"/>
      <c r="E195" s="112">
        <f>SUM(E191:E194)</f>
        <v>0.54133826000000007</v>
      </c>
      <c r="F195" s="112">
        <f>SUM(F191:F194)</f>
        <v>1</v>
      </c>
      <c r="G195" s="113">
        <f>SUM(G191:G194)</f>
        <v>48208394.36240384</v>
      </c>
      <c r="H195" s="114">
        <f>SUM(H191:H194)</f>
        <v>42626682.100000009</v>
      </c>
      <c r="I195" s="60"/>
      <c r="J195" s="115">
        <f>SUM(J191:J194)</f>
        <v>5581712.2624038439</v>
      </c>
      <c r="K195" s="4"/>
      <c r="L195" s="17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5" thickBot="1" x14ac:dyDescent="0.35">
      <c r="A196" s="4"/>
      <c r="B196" s="4"/>
      <c r="C196" s="94"/>
      <c r="D196" s="4"/>
      <c r="E196" s="95"/>
      <c r="F196" s="95"/>
      <c r="G196" s="92"/>
      <c r="H196" s="31"/>
      <c r="I196" s="4"/>
      <c r="J196" s="41"/>
      <c r="K196" s="4"/>
      <c r="L196" s="17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5.6" x14ac:dyDescent="0.3">
      <c r="A197" s="85" t="s">
        <v>617</v>
      </c>
      <c r="B197" s="86"/>
      <c r="C197" s="86"/>
      <c r="D197" s="86"/>
      <c r="E197" s="50"/>
      <c r="F197" s="50"/>
      <c r="G197" s="87">
        <v>2023</v>
      </c>
      <c r="H197" s="87">
        <v>2022</v>
      </c>
      <c r="I197" s="19"/>
      <c r="J197" s="8"/>
      <c r="K197" s="4"/>
      <c r="L197" s="17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5.6" x14ac:dyDescent="0.3">
      <c r="A198" s="117"/>
      <c r="B198" s="4"/>
      <c r="C198" s="4"/>
      <c r="D198" s="4"/>
      <c r="E198" s="31"/>
      <c r="F198" s="31"/>
      <c r="G198" s="24" t="s">
        <v>3</v>
      </c>
      <c r="H198" s="24" t="s">
        <v>601</v>
      </c>
      <c r="I198" s="4"/>
      <c r="J198" s="9" t="s">
        <v>6</v>
      </c>
      <c r="K198" s="4"/>
      <c r="L198" s="17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3">
      <c r="A199" s="57"/>
      <c r="B199" s="4"/>
      <c r="C199" s="7"/>
      <c r="D199" s="32"/>
      <c r="E199" s="55" t="s">
        <v>78</v>
      </c>
      <c r="F199" s="55" t="s">
        <v>79</v>
      </c>
      <c r="G199" s="55" t="s">
        <v>11</v>
      </c>
      <c r="H199" s="55" t="s">
        <v>11</v>
      </c>
      <c r="I199" s="4"/>
      <c r="J199" s="10" t="s">
        <v>13</v>
      </c>
      <c r="K199" s="4"/>
      <c r="L199" s="17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3">
      <c r="A200" s="57"/>
      <c r="B200" s="4"/>
      <c r="C200" s="91"/>
      <c r="D200" s="4" t="s">
        <v>506</v>
      </c>
      <c r="E200" s="92">
        <v>8639713526</v>
      </c>
      <c r="F200" s="92">
        <v>8618389234</v>
      </c>
      <c r="G200" s="92"/>
      <c r="H200" s="31"/>
      <c r="I200" s="4"/>
      <c r="J200" s="52"/>
      <c r="K200" s="4"/>
      <c r="L200" s="17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3">
      <c r="A201" s="57"/>
      <c r="B201" s="4"/>
      <c r="C201" s="94"/>
      <c r="D201" s="4" t="s">
        <v>501</v>
      </c>
      <c r="E201" s="95">
        <f>0.448885*1.025+0.057998</f>
        <v>0.51810512499999994</v>
      </c>
      <c r="F201" s="95">
        <f>0.024978*1.025</f>
        <v>2.5602449999999999E-2</v>
      </c>
      <c r="G201" s="95">
        <f>SUM(E201:F201)</f>
        <v>0.543707575</v>
      </c>
      <c r="H201" s="95">
        <v>0.60463199999999995</v>
      </c>
      <c r="I201" s="4"/>
      <c r="J201" s="96">
        <f t="shared" ref="J201:J206" si="12">+G201-H201</f>
        <v>-6.0924424999999949E-2</v>
      </c>
      <c r="K201" s="4"/>
      <c r="L201" s="17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3">
      <c r="A202" s="57"/>
      <c r="B202" s="4"/>
      <c r="C202" s="91"/>
      <c r="D202" s="4" t="s">
        <v>508</v>
      </c>
      <c r="E202" s="92">
        <f>(+E200/100)*E201</f>
        <v>44762798.563524209</v>
      </c>
      <c r="F202" s="92">
        <f>(+F200/100)*F201</f>
        <v>2206518.7944402331</v>
      </c>
      <c r="G202" s="92">
        <f>SUM(E202:F202)</f>
        <v>46969317.357964441</v>
      </c>
      <c r="H202" s="92">
        <v>41888306.350000001</v>
      </c>
      <c r="I202" s="4"/>
      <c r="J202" s="97">
        <f t="shared" si="12"/>
        <v>5081011.0079644397</v>
      </c>
      <c r="K202" s="4"/>
      <c r="L202" s="17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3">
      <c r="A203" s="57"/>
      <c r="B203" s="4"/>
      <c r="C203" s="91"/>
      <c r="D203" s="4" t="s">
        <v>510</v>
      </c>
      <c r="E203" s="92">
        <v>2789323</v>
      </c>
      <c r="F203" s="92">
        <v>145410.67000000001</v>
      </c>
      <c r="G203" s="92">
        <f>SUM(E203:F203)</f>
        <v>2934733.67</v>
      </c>
      <c r="H203" s="92">
        <v>2514487.5099999998</v>
      </c>
      <c r="I203" s="4"/>
      <c r="J203" s="97">
        <f t="shared" si="12"/>
        <v>420246.16000000015</v>
      </c>
      <c r="K203" s="4"/>
      <c r="L203" s="17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3">
      <c r="A204" s="57"/>
      <c r="B204" s="4"/>
      <c r="C204" s="91"/>
      <c r="D204" s="4" t="s">
        <v>507</v>
      </c>
      <c r="E204" s="92">
        <f>SUM(E202:E203)</f>
        <v>47552121.563524209</v>
      </c>
      <c r="F204" s="92">
        <f>SUM(F202:F203)</f>
        <v>2351929.4644402331</v>
      </c>
      <c r="G204" s="92">
        <f>SUM(E204:F204)</f>
        <v>49904051.027964443</v>
      </c>
      <c r="H204" s="92">
        <v>44402793.859999999</v>
      </c>
      <c r="I204" s="4"/>
      <c r="J204" s="97">
        <f t="shared" si="12"/>
        <v>5501257.1679644436</v>
      </c>
      <c r="K204" s="4"/>
      <c r="L204" s="17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3">
      <c r="A205" s="57"/>
      <c r="B205" s="4"/>
      <c r="C205" s="98"/>
      <c r="D205" s="4" t="s">
        <v>80</v>
      </c>
      <c r="E205" s="99">
        <v>0.97</v>
      </c>
      <c r="F205" s="99">
        <f>+E205</f>
        <v>0.97</v>
      </c>
      <c r="G205" s="99">
        <f>+E205</f>
        <v>0.97</v>
      </c>
      <c r="H205" s="99">
        <v>0.96</v>
      </c>
      <c r="I205" s="4"/>
      <c r="J205" s="100">
        <f t="shared" si="12"/>
        <v>1.0000000000000009E-2</v>
      </c>
      <c r="K205" s="4"/>
      <c r="L205" s="72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5" thickBot="1" x14ac:dyDescent="0.35">
      <c r="A206" s="57"/>
      <c r="B206" s="4"/>
      <c r="C206" s="91"/>
      <c r="D206" s="4" t="s">
        <v>81</v>
      </c>
      <c r="E206" s="101">
        <f>+E204*E205</f>
        <v>46125557.916618481</v>
      </c>
      <c r="F206" s="101">
        <f>+F204*F205</f>
        <v>2281371.5805070261</v>
      </c>
      <c r="G206" s="101">
        <f>+G204*G205</f>
        <v>48406929.497125506</v>
      </c>
      <c r="H206" s="101">
        <f>+H204*H205</f>
        <v>42626682.105599999</v>
      </c>
      <c r="I206" s="4"/>
      <c r="J206" s="102">
        <f t="shared" si="12"/>
        <v>5780247.391525507</v>
      </c>
      <c r="K206" s="4"/>
      <c r="L206" s="17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5" thickTop="1" x14ac:dyDescent="0.3">
      <c r="A207" s="57"/>
      <c r="B207" s="4"/>
      <c r="C207" s="98"/>
      <c r="D207" s="4"/>
      <c r="E207" s="92"/>
      <c r="F207" s="92"/>
      <c r="G207" s="92"/>
      <c r="H207" s="31"/>
      <c r="I207" s="4"/>
      <c r="J207" s="103"/>
      <c r="K207" s="4"/>
      <c r="L207" s="17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3">
      <c r="A208" s="51"/>
      <c r="B208" s="4"/>
      <c r="C208" s="98"/>
      <c r="D208" s="32" t="s">
        <v>82</v>
      </c>
      <c r="E208" s="92"/>
      <c r="F208" s="92"/>
      <c r="G208" s="92"/>
      <c r="H208" s="31"/>
      <c r="I208" s="4"/>
      <c r="J208" s="103"/>
      <c r="K208" s="4"/>
      <c r="L208" s="17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3">
      <c r="A209" s="57"/>
      <c r="B209" s="4"/>
      <c r="C209" s="94"/>
      <c r="D209" s="4" t="s">
        <v>77</v>
      </c>
      <c r="E209" s="95">
        <f>+E201-E210-E212</f>
        <v>0.39010712499999994</v>
      </c>
      <c r="F209" s="95">
        <f>+E209/E201</f>
        <v>0.75294975126910779</v>
      </c>
      <c r="G209" s="92">
        <f>+E206*F209</f>
        <v>34730227.360466711</v>
      </c>
      <c r="H209" s="98">
        <v>31696956.350000001</v>
      </c>
      <c r="I209" s="4"/>
      <c r="J209" s="103">
        <f>+G209-H209</f>
        <v>3033271.0104667097</v>
      </c>
      <c r="K209" s="4"/>
      <c r="L209" s="17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3">
      <c r="A210" s="57"/>
      <c r="B210" s="4"/>
      <c r="C210" s="94"/>
      <c r="D210" s="4" t="s">
        <v>83</v>
      </c>
      <c r="E210" s="95">
        <v>7.0000000000000007E-2</v>
      </c>
      <c r="F210" s="95">
        <f>+E210/E201</f>
        <v>0.1351077158327666</v>
      </c>
      <c r="G210" s="92">
        <f>+E206*F210</f>
        <v>6231918.7716263076</v>
      </c>
      <c r="H210" s="98">
        <v>4935057.2699999996</v>
      </c>
      <c r="I210" s="4"/>
      <c r="J210" s="103">
        <f>+G210-H210</f>
        <v>1296861.5016263081</v>
      </c>
      <c r="K210" s="4"/>
      <c r="L210" s="17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57"/>
      <c r="B211" s="4"/>
      <c r="C211" s="94"/>
      <c r="D211" s="4" t="s">
        <v>79</v>
      </c>
      <c r="E211" s="95">
        <f>+F201</f>
        <v>2.5602449999999999E-2</v>
      </c>
      <c r="F211" s="95"/>
      <c r="G211" s="92">
        <f>+F206</f>
        <v>2281371.5805070261</v>
      </c>
      <c r="H211" s="98">
        <v>2039995.59</v>
      </c>
      <c r="I211" s="4"/>
      <c r="J211" s="103">
        <f>+G211-H211</f>
        <v>241375.99050702597</v>
      </c>
      <c r="K211" s="4"/>
      <c r="L211" s="17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57"/>
      <c r="B212" s="4"/>
      <c r="C212" s="94"/>
      <c r="D212" s="4" t="s">
        <v>84</v>
      </c>
      <c r="E212" s="108">
        <v>5.7998000000000001E-2</v>
      </c>
      <c r="F212" s="108">
        <f>+E212/E201</f>
        <v>0.11194253289812565</v>
      </c>
      <c r="G212" s="99">
        <f>+E206*F212</f>
        <v>5163411.7845254643</v>
      </c>
      <c r="H212" s="109">
        <v>3954672.89</v>
      </c>
      <c r="I212" s="4"/>
      <c r="J212" s="110">
        <f>+G212-H212</f>
        <v>1208738.8945254642</v>
      </c>
      <c r="K212" s="4"/>
      <c r="L212" s="17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5" thickBot="1" x14ac:dyDescent="0.35">
      <c r="A213" s="59"/>
      <c r="B213" s="60"/>
      <c r="C213" s="111"/>
      <c r="D213" s="60"/>
      <c r="E213" s="112">
        <f>SUM(E209:E212)</f>
        <v>0.543707575</v>
      </c>
      <c r="F213" s="112">
        <f>SUM(F209:F212)</f>
        <v>1</v>
      </c>
      <c r="G213" s="113">
        <f>SUM(G209:G212)</f>
        <v>48406929.497125506</v>
      </c>
      <c r="H213" s="114">
        <f>SUM(H209:H212)</f>
        <v>42626682.100000009</v>
      </c>
      <c r="I213" s="60"/>
      <c r="J213" s="115">
        <f>SUM(J209:J212)</f>
        <v>5780247.3971255086</v>
      </c>
      <c r="K213" s="4"/>
      <c r="L213" s="17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3">
      <c r="A214" s="4"/>
      <c r="B214" s="4"/>
      <c r="C214" s="94"/>
      <c r="D214" s="4"/>
      <c r="E214" s="95"/>
      <c r="F214" s="95"/>
      <c r="G214" s="92"/>
      <c r="H214" s="31"/>
      <c r="I214" s="4"/>
      <c r="J214" s="41"/>
      <c r="K214" s="4"/>
      <c r="L214" s="17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5.6" x14ac:dyDescent="0.3">
      <c r="A215" s="88" t="s">
        <v>616</v>
      </c>
      <c r="B215" s="89"/>
      <c r="C215" s="89"/>
      <c r="D215" s="89"/>
      <c r="E215" s="122"/>
      <c r="F215" s="122"/>
      <c r="G215" s="123">
        <v>2023</v>
      </c>
      <c r="H215" s="123">
        <v>2022</v>
      </c>
      <c r="I215" s="124"/>
      <c r="J215" s="125" t="s">
        <v>6</v>
      </c>
      <c r="K215" s="4"/>
      <c r="L215" s="17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5.6" x14ac:dyDescent="0.3">
      <c r="A216" s="117"/>
      <c r="B216" s="4"/>
      <c r="C216" s="4"/>
      <c r="D216" s="4"/>
      <c r="E216" s="31"/>
      <c r="F216" s="31"/>
      <c r="G216" s="24" t="s">
        <v>3</v>
      </c>
      <c r="H216" s="24" t="s">
        <v>601</v>
      </c>
      <c r="I216" s="4"/>
      <c r="J216" s="9" t="s">
        <v>6</v>
      </c>
      <c r="K216" s="4"/>
      <c r="L216" s="17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3">
      <c r="A217" s="57"/>
      <c r="B217" s="4"/>
      <c r="C217" s="7"/>
      <c r="D217" s="32"/>
      <c r="E217" s="55" t="s">
        <v>78</v>
      </c>
      <c r="F217" s="55" t="s">
        <v>79</v>
      </c>
      <c r="G217" s="55" t="s">
        <v>11</v>
      </c>
      <c r="H217" s="55" t="s">
        <v>11</v>
      </c>
      <c r="I217" s="4"/>
      <c r="J217" s="10" t="s">
        <v>13</v>
      </c>
      <c r="K217" s="4"/>
      <c r="L217" s="17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3">
      <c r="A218" s="57"/>
      <c r="B218" s="4"/>
      <c r="C218" s="91"/>
      <c r="D218" s="4" t="s">
        <v>506</v>
      </c>
      <c r="E218" s="92">
        <v>8639713526</v>
      </c>
      <c r="F218" s="92">
        <v>8618389234</v>
      </c>
      <c r="G218" s="92"/>
      <c r="H218" s="31"/>
      <c r="I218" s="4"/>
      <c r="J218" s="52"/>
      <c r="K218" s="4"/>
      <c r="L218" s="17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3">
      <c r="A219" s="57"/>
      <c r="B219" s="4"/>
      <c r="C219" s="94"/>
      <c r="D219" s="4" t="s">
        <v>501</v>
      </c>
      <c r="E219" s="95">
        <f>0.448885*1.03+0.057998</f>
        <v>0.52034955000000005</v>
      </c>
      <c r="F219" s="95">
        <f>0.024978*1.03</f>
        <v>2.5727340000000001E-2</v>
      </c>
      <c r="G219" s="95">
        <f>SUM(E219:F219)</f>
        <v>0.54607689000000004</v>
      </c>
      <c r="H219" s="95">
        <v>0.60463199999999995</v>
      </c>
      <c r="I219" s="4"/>
      <c r="J219" s="96">
        <f t="shared" ref="J219:J224" si="13">+G219-H219</f>
        <v>-5.855510999999991E-2</v>
      </c>
      <c r="K219" s="4"/>
      <c r="L219" s="17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3">
      <c r="A220" s="57"/>
      <c r="B220" s="4"/>
      <c r="C220" s="91"/>
      <c r="D220" s="4" t="s">
        <v>508</v>
      </c>
      <c r="E220" s="92">
        <f>(+E218/100)*E219</f>
        <v>44956710.453830138</v>
      </c>
      <c r="F220" s="92">
        <f>(+F218/100)*F219</f>
        <v>2217282.300754576</v>
      </c>
      <c r="G220" s="92">
        <f>SUM(E220:F220)</f>
        <v>47173992.754584715</v>
      </c>
      <c r="H220" s="92">
        <v>41888306.350000001</v>
      </c>
      <c r="I220" s="4"/>
      <c r="J220" s="97">
        <f t="shared" si="13"/>
        <v>5285686.4045847133</v>
      </c>
      <c r="K220" s="4"/>
      <c r="L220" s="17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3">
      <c r="A221" s="57"/>
      <c r="B221" s="4"/>
      <c r="C221" s="91"/>
      <c r="D221" s="4" t="s">
        <v>510</v>
      </c>
      <c r="E221" s="92">
        <v>2789323</v>
      </c>
      <c r="F221" s="92">
        <v>145410.67000000001</v>
      </c>
      <c r="G221" s="92">
        <f>SUM(E221:F221)</f>
        <v>2934733.67</v>
      </c>
      <c r="H221" s="92">
        <v>2514487.5099999998</v>
      </c>
      <c r="I221" s="4"/>
      <c r="J221" s="97">
        <f t="shared" si="13"/>
        <v>420246.16000000015</v>
      </c>
      <c r="K221" s="4"/>
      <c r="L221" s="17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3">
      <c r="A222" s="57"/>
      <c r="B222" s="4"/>
      <c r="C222" s="91"/>
      <c r="D222" s="4" t="s">
        <v>507</v>
      </c>
      <c r="E222" s="92">
        <f>SUM(E220:E221)</f>
        <v>47746033.453830138</v>
      </c>
      <c r="F222" s="92">
        <f>SUM(F220:F221)</f>
        <v>2362692.9707545759</v>
      </c>
      <c r="G222" s="92">
        <f>SUM(E222:F222)</f>
        <v>50108726.424584717</v>
      </c>
      <c r="H222" s="92">
        <v>44402793.859999999</v>
      </c>
      <c r="I222" s="4"/>
      <c r="J222" s="97">
        <f t="shared" si="13"/>
        <v>5705932.5645847172</v>
      </c>
      <c r="K222" s="4"/>
      <c r="L222" s="17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3">
      <c r="A223" s="57"/>
      <c r="B223" s="4"/>
      <c r="C223" s="98"/>
      <c r="D223" s="4" t="s">
        <v>80</v>
      </c>
      <c r="E223" s="99">
        <v>0.97</v>
      </c>
      <c r="F223" s="99">
        <f>+E223</f>
        <v>0.97</v>
      </c>
      <c r="G223" s="99">
        <f>+E223</f>
        <v>0.97</v>
      </c>
      <c r="H223" s="99">
        <v>0.96</v>
      </c>
      <c r="I223" s="4"/>
      <c r="J223" s="100">
        <f t="shared" si="13"/>
        <v>1.0000000000000009E-2</v>
      </c>
      <c r="K223" s="4"/>
      <c r="L223" s="17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5" thickBot="1" x14ac:dyDescent="0.35">
      <c r="A224" s="57"/>
      <c r="B224" s="4"/>
      <c r="C224" s="91"/>
      <c r="D224" s="4" t="s">
        <v>81</v>
      </c>
      <c r="E224" s="101">
        <f>+E222*E223</f>
        <v>46313652.450215235</v>
      </c>
      <c r="F224" s="101">
        <f>+F222*F223</f>
        <v>2291812.1816319386</v>
      </c>
      <c r="G224" s="101">
        <f>+G222*G223</f>
        <v>48605464.631847173</v>
      </c>
      <c r="H224" s="101">
        <f>+H222*H223</f>
        <v>42626682.105599999</v>
      </c>
      <c r="I224" s="4"/>
      <c r="J224" s="102">
        <f t="shared" si="13"/>
        <v>5978782.5262471735</v>
      </c>
      <c r="K224" s="4"/>
      <c r="L224" s="17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5" thickTop="1" x14ac:dyDescent="0.3">
      <c r="A225" s="57"/>
      <c r="B225" s="4"/>
      <c r="C225" s="98"/>
      <c r="D225" s="4"/>
      <c r="E225" s="92"/>
      <c r="F225" s="92"/>
      <c r="G225" s="92"/>
      <c r="H225" s="31"/>
      <c r="I225" s="4"/>
      <c r="J225" s="103"/>
      <c r="K225" s="4"/>
      <c r="L225" s="17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3">
      <c r="A226" s="51"/>
      <c r="B226" s="4"/>
      <c r="C226" s="98"/>
      <c r="D226" s="32" t="s">
        <v>82</v>
      </c>
      <c r="E226" s="92"/>
      <c r="F226" s="92"/>
      <c r="G226" s="92"/>
      <c r="H226" s="31"/>
      <c r="I226" s="4"/>
      <c r="J226" s="103"/>
      <c r="K226" s="4"/>
      <c r="L226" s="17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3">
      <c r="A227" s="57"/>
      <c r="B227" s="4"/>
      <c r="C227" s="94"/>
      <c r="D227" s="4" t="s">
        <v>77</v>
      </c>
      <c r="E227" s="95">
        <f>+E219-E228-E230</f>
        <v>0.39235155000000005</v>
      </c>
      <c r="F227" s="95">
        <f>+E227/E219</f>
        <v>0.75401535371751549</v>
      </c>
      <c r="G227" s="92">
        <f>+E224*F227</f>
        <v>34921205.034199119</v>
      </c>
      <c r="H227" s="98">
        <v>31696956.350000001</v>
      </c>
      <c r="I227" s="4"/>
      <c r="J227" s="103">
        <f>+G227-H227</f>
        <v>3224248.6841991171</v>
      </c>
      <c r="K227" s="4"/>
      <c r="L227" s="17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3">
      <c r="A228" s="57"/>
      <c r="B228" s="4"/>
      <c r="C228" s="94"/>
      <c r="D228" s="4" t="s">
        <v>83</v>
      </c>
      <c r="E228" s="95">
        <v>7.0000000000000007E-2</v>
      </c>
      <c r="F228" s="95">
        <f>+E228/E219</f>
        <v>0.13452495538816167</v>
      </c>
      <c r="G228" s="92">
        <f>+E224*F228</f>
        <v>6230342.0297280289</v>
      </c>
      <c r="H228" s="98">
        <v>4935057.2699999996</v>
      </c>
      <c r="I228" s="4"/>
      <c r="J228" s="103">
        <f>+G228-H228</f>
        <v>1295284.7597280294</v>
      </c>
      <c r="K228" s="4"/>
      <c r="L228" s="17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3">
      <c r="A229" s="57"/>
      <c r="B229" s="4"/>
      <c r="C229" s="94"/>
      <c r="D229" s="4" t="s">
        <v>79</v>
      </c>
      <c r="E229" s="95">
        <f>+F219</f>
        <v>2.5727340000000001E-2</v>
      </c>
      <c r="F229" s="95"/>
      <c r="G229" s="92">
        <f>+F224</f>
        <v>2291812.1816319386</v>
      </c>
      <c r="H229" s="98">
        <v>2039995.59</v>
      </c>
      <c r="I229" s="4"/>
      <c r="J229" s="103">
        <f>+G229-H229</f>
        <v>251816.59163193847</v>
      </c>
      <c r="K229" s="4"/>
      <c r="L229" s="17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3">
      <c r="A230" s="57"/>
      <c r="B230" s="4"/>
      <c r="C230" s="94"/>
      <c r="D230" s="4" t="s">
        <v>84</v>
      </c>
      <c r="E230" s="108">
        <v>5.7998000000000001E-2</v>
      </c>
      <c r="F230" s="108">
        <f>+E230/E219</f>
        <v>0.11145969089432285</v>
      </c>
      <c r="G230" s="99">
        <f>+E224*F230</f>
        <v>5162105.3862880887</v>
      </c>
      <c r="H230" s="109">
        <v>3954672.89</v>
      </c>
      <c r="I230" s="4"/>
      <c r="J230" s="110">
        <f>+G230-H230</f>
        <v>1207432.4962880886</v>
      </c>
      <c r="K230" s="4"/>
      <c r="L230" s="17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5" thickBot="1" x14ac:dyDescent="0.35">
      <c r="A231" s="59"/>
      <c r="B231" s="60"/>
      <c r="C231" s="111"/>
      <c r="D231" s="60"/>
      <c r="E231" s="112">
        <f>SUM(E227:E230)</f>
        <v>0.54607689000000004</v>
      </c>
      <c r="F231" s="112">
        <f>SUM(F227:F230)</f>
        <v>1</v>
      </c>
      <c r="G231" s="113">
        <f>SUM(G227:G230)</f>
        <v>48605464.631847173</v>
      </c>
      <c r="H231" s="114">
        <f>SUM(H227:H230)</f>
        <v>42626682.100000009</v>
      </c>
      <c r="I231" s="60"/>
      <c r="J231" s="115">
        <f>SUM(J227:J230)</f>
        <v>5978782.5318471733</v>
      </c>
      <c r="K231" s="4"/>
      <c r="L231" s="17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5" thickBot="1" x14ac:dyDescent="0.35">
      <c r="A232" s="4"/>
      <c r="B232" s="4"/>
      <c r="C232" s="4"/>
      <c r="D232" s="4"/>
      <c r="E232" s="31"/>
      <c r="F232" s="31"/>
      <c r="G232" s="31"/>
      <c r="H232" s="31"/>
      <c r="I232" s="4"/>
      <c r="J232" s="4"/>
      <c r="K232" s="4"/>
      <c r="L232" s="17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5.6" x14ac:dyDescent="0.3">
      <c r="A233" s="85" t="s">
        <v>696</v>
      </c>
      <c r="B233" s="86"/>
      <c r="C233" s="86"/>
      <c r="D233" s="86"/>
      <c r="E233" s="116" t="s">
        <v>575</v>
      </c>
      <c r="F233" s="116"/>
      <c r="G233" s="87">
        <v>2023</v>
      </c>
      <c r="H233" s="87">
        <v>2022</v>
      </c>
      <c r="I233" s="19"/>
      <c r="J233" s="22"/>
      <c r="K233" s="4"/>
      <c r="L233" s="17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5.6" x14ac:dyDescent="0.3">
      <c r="A234" s="117"/>
      <c r="B234" s="4"/>
      <c r="C234" s="4"/>
      <c r="D234" s="4"/>
      <c r="E234" s="92"/>
      <c r="F234" s="92"/>
      <c r="G234" s="118" t="s">
        <v>3</v>
      </c>
      <c r="H234" s="24" t="s">
        <v>601</v>
      </c>
      <c r="I234" s="4"/>
      <c r="J234" s="52"/>
      <c r="K234" s="4"/>
      <c r="L234" s="17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3">
      <c r="A235" s="57"/>
      <c r="B235" s="4"/>
      <c r="C235" s="7"/>
      <c r="D235" s="32"/>
      <c r="E235" s="119" t="s">
        <v>78</v>
      </c>
      <c r="F235" s="119" t="s">
        <v>79</v>
      </c>
      <c r="G235" s="119" t="s">
        <v>11</v>
      </c>
      <c r="H235" s="55" t="s">
        <v>11</v>
      </c>
      <c r="I235" s="4"/>
      <c r="J235" s="90" t="s">
        <v>600</v>
      </c>
      <c r="K235" s="4"/>
      <c r="L235" s="17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3">
      <c r="A236" s="57"/>
      <c r="B236" s="4"/>
      <c r="C236" s="91"/>
      <c r="D236" s="4" t="s">
        <v>506</v>
      </c>
      <c r="E236" s="92">
        <v>8639713526</v>
      </c>
      <c r="F236" s="92">
        <v>8618389234</v>
      </c>
      <c r="G236" s="92"/>
      <c r="H236" s="31"/>
      <c r="I236" s="4"/>
      <c r="J236" s="70"/>
      <c r="K236" s="4"/>
      <c r="L236" s="17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3">
      <c r="A237" s="57"/>
      <c r="B237" s="4"/>
      <c r="C237" s="94"/>
      <c r="D237" s="4" t="s">
        <v>501</v>
      </c>
      <c r="E237" s="95">
        <f>0.448885*1.0349978+0.057998</f>
        <v>0.52259298745299998</v>
      </c>
      <c r="F237" s="95">
        <f>0.024978*1.035</f>
        <v>2.5852229999999997E-2</v>
      </c>
      <c r="G237" s="95">
        <f>SUM(E237:F237)</f>
        <v>0.54844521745300001</v>
      </c>
      <c r="H237" s="95">
        <v>0.60463199999999995</v>
      </c>
      <c r="I237" s="4"/>
      <c r="J237" s="96">
        <f t="shared" ref="J237:J242" si="14">+G237-H237</f>
        <v>-5.6186782546999936E-2</v>
      </c>
      <c r="K237" s="4"/>
      <c r="L237" s="17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3">
      <c r="A238" s="57"/>
      <c r="B238" s="4"/>
      <c r="C238" s="94"/>
      <c r="D238" s="4" t="s">
        <v>508</v>
      </c>
      <c r="E238" s="92">
        <f>(+E236/100)*E237</f>
        <v>45150537.022904322</v>
      </c>
      <c r="F238" s="92">
        <f>(+F236/100)*F237</f>
        <v>2228045.8070689179</v>
      </c>
      <c r="G238" s="92">
        <f>SUM(E238:F238)</f>
        <v>47378582.829973236</v>
      </c>
      <c r="H238" s="92">
        <v>41888306.350000001</v>
      </c>
      <c r="I238" s="4"/>
      <c r="J238" s="103">
        <f t="shared" si="14"/>
        <v>5490276.4799732342</v>
      </c>
      <c r="K238" s="4"/>
      <c r="L238" s="17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3">
      <c r="A239" s="57"/>
      <c r="B239" s="4"/>
      <c r="C239" s="94"/>
      <c r="D239" s="4" t="s">
        <v>510</v>
      </c>
      <c r="E239" s="92">
        <v>2789323</v>
      </c>
      <c r="F239" s="92">
        <v>145410.67000000001</v>
      </c>
      <c r="G239" s="92">
        <f>SUM(E239:F239)</f>
        <v>2934733.67</v>
      </c>
      <c r="H239" s="92">
        <v>2514487.5099999998</v>
      </c>
      <c r="I239" s="4"/>
      <c r="J239" s="103">
        <f t="shared" si="14"/>
        <v>420246.16000000015</v>
      </c>
      <c r="K239" s="4"/>
      <c r="L239" s="17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3">
      <c r="A240" s="57"/>
      <c r="B240" s="4"/>
      <c r="C240" s="91"/>
      <c r="D240" s="4" t="s">
        <v>507</v>
      </c>
      <c r="E240" s="163">
        <f>SUM(E238:E239)</f>
        <v>47939860.022904322</v>
      </c>
      <c r="F240" s="92">
        <f>SUM(F238:F239)</f>
        <v>2373456.4770689178</v>
      </c>
      <c r="G240" s="92">
        <f>SUM(E240:F240)</f>
        <v>50313316.499973238</v>
      </c>
      <c r="H240" s="92">
        <v>44402793.859999999</v>
      </c>
      <c r="I240" s="4"/>
      <c r="J240" s="103">
        <f t="shared" si="14"/>
        <v>5910522.6399732381</v>
      </c>
      <c r="K240" s="4"/>
      <c r="L240" s="17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3">
      <c r="A241" s="57"/>
      <c r="B241" s="4"/>
      <c r="C241" s="98"/>
      <c r="D241" s="4" t="s">
        <v>80</v>
      </c>
      <c r="E241" s="99">
        <v>0.97</v>
      </c>
      <c r="F241" s="99">
        <f>+E241</f>
        <v>0.97</v>
      </c>
      <c r="G241" s="99">
        <f>+E241</f>
        <v>0.97</v>
      </c>
      <c r="H241" s="99">
        <v>0.96</v>
      </c>
      <c r="I241" s="4"/>
      <c r="J241" s="100">
        <f t="shared" si="14"/>
        <v>1.0000000000000009E-2</v>
      </c>
      <c r="K241" s="4"/>
      <c r="L241" s="17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5" thickBot="1" x14ac:dyDescent="0.35">
      <c r="A242" s="57"/>
      <c r="B242" s="4"/>
      <c r="C242" s="91"/>
      <c r="D242" s="4" t="s">
        <v>81</v>
      </c>
      <c r="E242" s="101">
        <f>+E240*E241</f>
        <v>46501664.222217187</v>
      </c>
      <c r="F242" s="101">
        <f>+F240*F241</f>
        <v>2302252.7827568501</v>
      </c>
      <c r="G242" s="101">
        <f>+G240*G241</f>
        <v>48803917.004974037</v>
      </c>
      <c r="H242" s="101">
        <f>+H240*H241</f>
        <v>42626682.105599999</v>
      </c>
      <c r="I242" s="4"/>
      <c r="J242" s="102">
        <f t="shared" si="14"/>
        <v>6177234.899374038</v>
      </c>
      <c r="K242" s="4"/>
      <c r="L242" s="17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5" thickTop="1" x14ac:dyDescent="0.3">
      <c r="A243" s="57"/>
      <c r="B243" s="4"/>
      <c r="C243" s="91"/>
      <c r="D243" s="4"/>
      <c r="E243" s="92"/>
      <c r="F243" s="92"/>
      <c r="G243" s="92"/>
      <c r="H243" s="92"/>
      <c r="I243" s="4"/>
      <c r="J243" s="103"/>
      <c r="K243" s="4"/>
      <c r="L243" s="17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3">
      <c r="A244" s="51"/>
      <c r="B244" s="4"/>
      <c r="C244" s="98"/>
      <c r="D244" s="32" t="s">
        <v>82</v>
      </c>
      <c r="E244" s="92"/>
      <c r="F244" s="92"/>
      <c r="G244" s="92"/>
      <c r="H244" s="31"/>
      <c r="I244" s="4"/>
      <c r="J244" s="103"/>
      <c r="K244" s="4"/>
      <c r="L244" s="17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3">
      <c r="A245" s="57"/>
      <c r="B245" s="4"/>
      <c r="C245" s="94"/>
      <c r="D245" s="4" t="s">
        <v>77</v>
      </c>
      <c r="E245" s="95">
        <f>+E237-E246-E248</f>
        <v>0.39459498745299998</v>
      </c>
      <c r="F245" s="12">
        <f>+E245/E237</f>
        <v>0.75507134027221967</v>
      </c>
      <c r="G245" s="92">
        <f>+E242*F245</f>
        <v>35112073.929158255</v>
      </c>
      <c r="H245" s="98">
        <v>31696956.350000001</v>
      </c>
      <c r="I245" s="4"/>
      <c r="J245" s="103">
        <f>+G245-H245</f>
        <v>3415117.579158254</v>
      </c>
      <c r="K245" s="4"/>
      <c r="L245" s="17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3">
      <c r="A246" s="57"/>
      <c r="B246" s="4"/>
      <c r="C246" s="94"/>
      <c r="D246" s="4" t="s">
        <v>83</v>
      </c>
      <c r="E246" s="95">
        <v>7.0000000000000007E-2</v>
      </c>
      <c r="F246" s="12">
        <f>+E246/E237</f>
        <v>0.1339474537175942</v>
      </c>
      <c r="G246" s="92">
        <f>+E242*F246</f>
        <v>6228779.5161965424</v>
      </c>
      <c r="H246" s="98">
        <v>4935057.2699999996</v>
      </c>
      <c r="I246" s="4"/>
      <c r="J246" s="103">
        <f>+G246-H246</f>
        <v>1293722.2461965429</v>
      </c>
      <c r="K246" s="4"/>
      <c r="L246" s="17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3">
      <c r="A247" s="57"/>
      <c r="B247" s="4"/>
      <c r="C247" s="94"/>
      <c r="D247" s="4" t="s">
        <v>79</v>
      </c>
      <c r="E247" s="95">
        <f>+F237</f>
        <v>2.5852229999999997E-2</v>
      </c>
      <c r="F247" s="12"/>
      <c r="G247" s="92">
        <f>+F242</f>
        <v>2302252.7827568501</v>
      </c>
      <c r="H247" s="98">
        <v>2039995.59</v>
      </c>
      <c r="I247" s="4"/>
      <c r="J247" s="103">
        <f>+G247-H247</f>
        <v>262257.19275685004</v>
      </c>
      <c r="K247" s="4"/>
      <c r="L247" s="17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3">
      <c r="A248" s="57"/>
      <c r="B248" s="4"/>
      <c r="C248" s="94"/>
      <c r="D248" s="4" t="s">
        <v>84</v>
      </c>
      <c r="E248" s="108">
        <v>5.7998000000000001E-2</v>
      </c>
      <c r="F248" s="120">
        <f>+E248/E237</f>
        <v>0.11098120601018611</v>
      </c>
      <c r="G248" s="92">
        <f>+E242*F248</f>
        <v>5160810.7768623866</v>
      </c>
      <c r="H248" s="109">
        <v>3954672.89</v>
      </c>
      <c r="I248" s="4"/>
      <c r="J248" s="110">
        <f>+G248-H248</f>
        <v>1206137.8868623865</v>
      </c>
      <c r="K248" s="4"/>
      <c r="L248" s="17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5" thickBot="1" x14ac:dyDescent="0.35">
      <c r="A249" s="59"/>
      <c r="B249" s="60"/>
      <c r="C249" s="111"/>
      <c r="D249" s="60"/>
      <c r="E249" s="112">
        <f>SUM(E245:E248)</f>
        <v>0.54844521745300001</v>
      </c>
      <c r="F249" s="112">
        <f>SUM(F245:F248)</f>
        <v>1</v>
      </c>
      <c r="G249" s="113">
        <f>SUM(G245:G248)</f>
        <v>48803917.004974037</v>
      </c>
      <c r="H249" s="114">
        <f>SUM(H245:H248)</f>
        <v>42626682.100000009</v>
      </c>
      <c r="I249" s="60"/>
      <c r="J249" s="115">
        <f>SUM(J245:J248)</f>
        <v>6177234.9049740341</v>
      </c>
      <c r="K249" s="4"/>
      <c r="L249" s="17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5" thickBot="1" x14ac:dyDescent="0.35">
      <c r="A250" s="4"/>
      <c r="B250" s="4"/>
      <c r="C250" s="4"/>
      <c r="D250" s="4"/>
      <c r="E250" s="31"/>
      <c r="F250" s="31"/>
      <c r="G250" s="31"/>
      <c r="H250" s="31"/>
      <c r="I250" s="4"/>
      <c r="J250" s="4"/>
      <c r="K250" s="4"/>
      <c r="L250" s="17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5.6" x14ac:dyDescent="0.3">
      <c r="A251" s="85" t="s">
        <v>714</v>
      </c>
      <c r="B251" s="86"/>
      <c r="C251" s="86"/>
      <c r="D251" s="86"/>
      <c r="E251" s="116" t="s">
        <v>575</v>
      </c>
      <c r="F251" s="116"/>
      <c r="G251" s="87">
        <v>2023</v>
      </c>
      <c r="H251" s="87">
        <v>2022</v>
      </c>
      <c r="I251" s="19"/>
      <c r="J251" s="22"/>
      <c r="K251" s="4"/>
      <c r="L251" s="17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5.6" x14ac:dyDescent="0.3">
      <c r="A252" s="117"/>
      <c r="B252" s="4"/>
      <c r="C252" s="4"/>
      <c r="D252" s="4"/>
      <c r="E252" s="92"/>
      <c r="F252" s="92"/>
      <c r="G252" s="118" t="s">
        <v>3</v>
      </c>
      <c r="H252" s="24" t="s">
        <v>601</v>
      </c>
      <c r="I252" s="4"/>
      <c r="J252" s="52"/>
      <c r="K252" s="4"/>
      <c r="L252" s="17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3">
      <c r="A253" s="57"/>
      <c r="B253" s="4"/>
      <c r="C253" s="7"/>
      <c r="D253" s="32"/>
      <c r="E253" s="119" t="s">
        <v>78</v>
      </c>
      <c r="F253" s="119" t="s">
        <v>79</v>
      </c>
      <c r="G253" s="119" t="s">
        <v>11</v>
      </c>
      <c r="H253" s="55" t="s">
        <v>11</v>
      </c>
      <c r="I253" s="4"/>
      <c r="J253" s="90" t="s">
        <v>600</v>
      </c>
      <c r="K253" s="4"/>
      <c r="L253" s="17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3">
      <c r="A254" s="57"/>
      <c r="B254" s="4"/>
      <c r="C254" s="91"/>
      <c r="D254" s="4" t="s">
        <v>506</v>
      </c>
      <c r="E254" s="92">
        <v>8639713526</v>
      </c>
      <c r="F254" s="92">
        <v>8618389234</v>
      </c>
      <c r="G254" s="92"/>
      <c r="H254" s="31"/>
      <c r="I254" s="4"/>
      <c r="J254" s="70"/>
      <c r="K254" s="4"/>
      <c r="L254" s="17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3">
      <c r="A255" s="57"/>
      <c r="B255" s="4"/>
      <c r="C255" s="94"/>
      <c r="D255" s="4" t="s">
        <v>501</v>
      </c>
      <c r="E255" s="95">
        <f>0.448885*1.0349978+0.057998+0.01</f>
        <v>0.53259298745299999</v>
      </c>
      <c r="F255" s="95">
        <f>0.024978*1.0349978</f>
        <v>2.5852175048400001E-2</v>
      </c>
      <c r="G255" s="95">
        <f>SUM(E255:F255)</f>
        <v>0.55844516250139997</v>
      </c>
      <c r="H255" s="95">
        <v>0.60463199999999995</v>
      </c>
      <c r="I255" s="4"/>
      <c r="J255" s="96">
        <f t="shared" ref="J255:J260" si="15">+G255-H255</f>
        <v>-4.6186837498599975E-2</v>
      </c>
      <c r="K255" s="4"/>
      <c r="L255" s="17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3">
      <c r="A256" s="57"/>
      <c r="B256" s="4"/>
      <c r="C256" s="94"/>
      <c r="D256" s="4" t="s">
        <v>508</v>
      </c>
      <c r="E256" s="92">
        <f>(+E254/100)*E255</f>
        <v>46014508.375504322</v>
      </c>
      <c r="F256" s="92">
        <f>(+F254/100)*F255</f>
        <v>2228041.0711261402</v>
      </c>
      <c r="G256" s="92">
        <f>SUM(E256:F256)</f>
        <v>48242549.446630463</v>
      </c>
      <c r="H256" s="92">
        <v>41888306.350000001</v>
      </c>
      <c r="I256" s="4"/>
      <c r="J256" s="103">
        <f t="shared" si="15"/>
        <v>6354243.0966304615</v>
      </c>
      <c r="K256" s="4"/>
      <c r="L256" s="17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3">
      <c r="A257" s="57"/>
      <c r="B257" s="4"/>
      <c r="C257" s="94"/>
      <c r="D257" s="4" t="s">
        <v>510</v>
      </c>
      <c r="E257" s="92">
        <v>2789323</v>
      </c>
      <c r="F257" s="92">
        <v>145410.67000000001</v>
      </c>
      <c r="G257" s="92">
        <f>SUM(E257:F257)</f>
        <v>2934733.67</v>
      </c>
      <c r="H257" s="92">
        <v>2514487.5099999998</v>
      </c>
      <c r="I257" s="4"/>
      <c r="J257" s="103">
        <f t="shared" si="15"/>
        <v>420246.16000000015</v>
      </c>
      <c r="K257" s="4"/>
      <c r="L257" s="17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3">
      <c r="A258" s="57"/>
      <c r="B258" s="4"/>
      <c r="C258" s="91"/>
      <c r="D258" s="4" t="s">
        <v>507</v>
      </c>
      <c r="E258" s="92">
        <f>SUM(E256:E257)</f>
        <v>48803831.375504322</v>
      </c>
      <c r="F258" s="92">
        <f>SUM(F256:F257)</f>
        <v>2373451.7411261401</v>
      </c>
      <c r="G258" s="92">
        <f>SUM(E258:F258)</f>
        <v>51177283.116630465</v>
      </c>
      <c r="H258" s="92">
        <v>44402793.859999999</v>
      </c>
      <c r="I258" s="4"/>
      <c r="J258" s="103">
        <f t="shared" si="15"/>
        <v>6774489.2566304654</v>
      </c>
      <c r="K258" s="4"/>
      <c r="L258" s="17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3">
      <c r="A259" s="57"/>
      <c r="B259" s="4"/>
      <c r="C259" s="98"/>
      <c r="D259" s="4" t="s">
        <v>80</v>
      </c>
      <c r="E259" s="99">
        <v>0.97</v>
      </c>
      <c r="F259" s="99">
        <f>+E259</f>
        <v>0.97</v>
      </c>
      <c r="G259" s="99">
        <f>+E259</f>
        <v>0.97</v>
      </c>
      <c r="H259" s="99">
        <v>0.96</v>
      </c>
      <c r="I259" s="4"/>
      <c r="J259" s="100">
        <f t="shared" si="15"/>
        <v>1.0000000000000009E-2</v>
      </c>
      <c r="K259" s="4"/>
      <c r="L259" s="17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5" thickBot="1" x14ac:dyDescent="0.35">
      <c r="A260" s="57"/>
      <c r="B260" s="4"/>
      <c r="C260" s="91"/>
      <c r="D260" s="4" t="s">
        <v>81</v>
      </c>
      <c r="E260" s="101">
        <f>+E258*E259</f>
        <v>47339716.434239194</v>
      </c>
      <c r="F260" s="101">
        <f>+F258*F259</f>
        <v>2302248.1888923557</v>
      </c>
      <c r="G260" s="101">
        <f>+G258*G259</f>
        <v>49641964.623131551</v>
      </c>
      <c r="H260" s="101">
        <f>+H258*H259</f>
        <v>42626682.105599999</v>
      </c>
      <c r="I260" s="4"/>
      <c r="J260" s="102">
        <f t="shared" si="15"/>
        <v>7015282.5175315514</v>
      </c>
      <c r="K260" s="4"/>
      <c r="L260" s="17">
        <f>6503510-5674102</f>
        <v>829408</v>
      </c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5" thickTop="1" x14ac:dyDescent="0.3">
      <c r="A261" s="57"/>
      <c r="B261" s="4"/>
      <c r="C261" s="91"/>
      <c r="D261" s="4"/>
      <c r="E261" s="92"/>
      <c r="F261" s="92"/>
      <c r="G261" s="92"/>
      <c r="H261" s="92"/>
      <c r="I261" s="4"/>
      <c r="J261" s="103"/>
      <c r="K261" s="4"/>
      <c r="L261" s="17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3">
      <c r="A262" s="51"/>
      <c r="B262" s="4"/>
      <c r="C262" s="98"/>
      <c r="D262" s="32" t="s">
        <v>82</v>
      </c>
      <c r="E262" s="92"/>
      <c r="F262" s="92"/>
      <c r="G262" s="92"/>
      <c r="H262" s="31"/>
      <c r="I262" s="4"/>
      <c r="J262" s="103"/>
      <c r="K262" s="4"/>
      <c r="L262" s="17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3">
      <c r="A263" s="57"/>
      <c r="B263" s="4"/>
      <c r="C263" s="94"/>
      <c r="D263" s="4" t="s">
        <v>77</v>
      </c>
      <c r="E263" s="95">
        <f>+E255-E264-E266</f>
        <v>0.40459498745299999</v>
      </c>
      <c r="F263" s="12">
        <f>+E263/E255</f>
        <v>0.7596701364542553</v>
      </c>
      <c r="G263" s="92">
        <f>+E260*F263</f>
        <v>35962568.843304239</v>
      </c>
      <c r="H263" s="98">
        <v>31696956.350000001</v>
      </c>
      <c r="I263" s="4"/>
      <c r="J263" s="103">
        <f>+G263-H263</f>
        <v>4265612.4933042377</v>
      </c>
      <c r="K263" s="4"/>
      <c r="L263" s="17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3">
      <c r="A264" s="57"/>
      <c r="B264" s="4"/>
      <c r="C264" s="94"/>
      <c r="D264" s="4" t="s">
        <v>83</v>
      </c>
      <c r="E264" s="95">
        <v>7.0000000000000007E-2</v>
      </c>
      <c r="F264" s="12">
        <f>+E264/E255</f>
        <v>0.13143244775857538</v>
      </c>
      <c r="G264" s="92">
        <f>+E260*F264</f>
        <v>6221974.8071489148</v>
      </c>
      <c r="H264" s="98">
        <v>4935057.2699999996</v>
      </c>
      <c r="I264" s="4"/>
      <c r="J264" s="103">
        <f>+G264-H264</f>
        <v>1286917.5371489152</v>
      </c>
      <c r="K264" s="4"/>
      <c r="L264" s="17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3">
      <c r="A265" s="57"/>
      <c r="B265" s="4"/>
      <c r="C265" s="94"/>
      <c r="D265" s="4" t="s">
        <v>79</v>
      </c>
      <c r="E265" s="95">
        <f>+F255</f>
        <v>2.5852175048400001E-2</v>
      </c>
      <c r="F265" s="12"/>
      <c r="G265" s="92">
        <f>+F260</f>
        <v>2302248.1888923557</v>
      </c>
      <c r="H265" s="98">
        <v>2039995.59</v>
      </c>
      <c r="I265" s="4"/>
      <c r="J265" s="103">
        <f>+G265-H265</f>
        <v>262252.59889235557</v>
      </c>
      <c r="K265" s="4"/>
      <c r="L265" s="17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3">
      <c r="A266" s="57"/>
      <c r="B266" s="4"/>
      <c r="C266" s="94"/>
      <c r="D266" s="4" t="s">
        <v>84</v>
      </c>
      <c r="E266" s="108">
        <v>5.7998000000000001E-2</v>
      </c>
      <c r="F266" s="120">
        <f>+E266/E255</f>
        <v>0.10889741578716934</v>
      </c>
      <c r="G266" s="92">
        <f>+E260*F266</f>
        <v>5155172.7837860389</v>
      </c>
      <c r="H266" s="109">
        <v>3954672.89</v>
      </c>
      <c r="I266" s="4"/>
      <c r="J266" s="110">
        <f>+G266-H266</f>
        <v>1200499.8937860387</v>
      </c>
      <c r="K266" s="4"/>
      <c r="L266" s="17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5" thickBot="1" x14ac:dyDescent="0.35">
      <c r="A267" s="59"/>
      <c r="B267" s="60"/>
      <c r="C267" s="111"/>
      <c r="D267" s="60"/>
      <c r="E267" s="112">
        <f>SUM(E263:E266)</f>
        <v>0.55844516250139997</v>
      </c>
      <c r="F267" s="112">
        <f>SUM(F263:F266)</f>
        <v>1</v>
      </c>
      <c r="G267" s="113">
        <f>SUM(G263:G266)</f>
        <v>49641964.623131543</v>
      </c>
      <c r="H267" s="114">
        <f>SUM(H263:H266)</f>
        <v>42626682.100000009</v>
      </c>
      <c r="I267" s="60"/>
      <c r="J267" s="115">
        <f>SUM(J263:J266)</f>
        <v>7015282.5231315475</v>
      </c>
      <c r="K267" s="4"/>
      <c r="L267" s="17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5" thickBot="1" x14ac:dyDescent="0.35">
      <c r="A268" s="57"/>
      <c r="B268" s="4"/>
      <c r="C268" s="94"/>
      <c r="D268" s="4"/>
      <c r="E268" s="95"/>
      <c r="F268" s="95"/>
      <c r="G268" s="92"/>
      <c r="H268" s="98"/>
      <c r="I268" s="4"/>
      <c r="J268" s="103"/>
      <c r="K268" s="4"/>
      <c r="L268" s="17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5.6" x14ac:dyDescent="0.3">
      <c r="A269" s="85" t="s">
        <v>725</v>
      </c>
      <c r="B269" s="86"/>
      <c r="C269" s="86"/>
      <c r="D269" s="86"/>
      <c r="E269" s="116" t="s">
        <v>575</v>
      </c>
      <c r="F269" s="116"/>
      <c r="G269" s="87">
        <v>2023</v>
      </c>
      <c r="H269" s="87">
        <v>2022</v>
      </c>
      <c r="I269" s="19"/>
      <c r="J269" s="22"/>
      <c r="K269" s="4"/>
      <c r="L269" s="17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5.6" x14ac:dyDescent="0.3">
      <c r="A270" s="117"/>
      <c r="B270" s="4"/>
      <c r="C270" s="4"/>
      <c r="D270" s="4"/>
      <c r="E270" s="92"/>
      <c r="F270" s="92"/>
      <c r="G270" s="118" t="s">
        <v>3</v>
      </c>
      <c r="H270" s="24" t="s">
        <v>601</v>
      </c>
      <c r="I270" s="4"/>
      <c r="J270" s="52"/>
      <c r="K270" s="4"/>
      <c r="L270" s="17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57"/>
      <c r="B271" s="4"/>
      <c r="C271" s="7"/>
      <c r="D271" s="32"/>
      <c r="E271" s="119" t="s">
        <v>78</v>
      </c>
      <c r="F271" s="119" t="s">
        <v>79</v>
      </c>
      <c r="G271" s="119" t="s">
        <v>11</v>
      </c>
      <c r="H271" s="55" t="s">
        <v>11</v>
      </c>
      <c r="I271" s="4"/>
      <c r="J271" s="90" t="s">
        <v>600</v>
      </c>
      <c r="K271" s="4"/>
      <c r="L271" s="17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57"/>
      <c r="B272" s="4"/>
      <c r="C272" s="91"/>
      <c r="D272" s="4" t="s">
        <v>506</v>
      </c>
      <c r="E272" s="92">
        <v>8639713526</v>
      </c>
      <c r="F272" s="92">
        <v>8618389234</v>
      </c>
      <c r="G272" s="92"/>
      <c r="H272" s="31"/>
      <c r="I272" s="4"/>
      <c r="J272" s="70"/>
      <c r="K272" s="4"/>
      <c r="L272" s="17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3">
      <c r="A273" s="57"/>
      <c r="B273" s="4"/>
      <c r="C273" s="94"/>
      <c r="D273" s="4" t="s">
        <v>501</v>
      </c>
      <c r="E273" s="95">
        <f>0.448885*1.0349978+0.057998+0.0125</f>
        <v>0.53509298745299994</v>
      </c>
      <c r="F273" s="95">
        <f>0.024978*1.0349978</f>
        <v>2.5852175048400001E-2</v>
      </c>
      <c r="G273" s="95">
        <f>SUM(E273:F273)</f>
        <v>0.56094516250139992</v>
      </c>
      <c r="H273" s="95">
        <v>0.60463199999999995</v>
      </c>
      <c r="I273" s="4"/>
      <c r="J273" s="96">
        <f t="shared" ref="J273:J278" si="16">+G273-H273</f>
        <v>-4.3686837498600029E-2</v>
      </c>
      <c r="K273" s="4"/>
      <c r="L273" s="17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3">
      <c r="A274" s="57"/>
      <c r="B274" s="4"/>
      <c r="C274" s="94"/>
      <c r="D274" s="4" t="s">
        <v>508</v>
      </c>
      <c r="E274" s="92">
        <f>(+E272/100)*E273</f>
        <v>46230501.213654324</v>
      </c>
      <c r="F274" s="92">
        <f>(+F272/100)*F273</f>
        <v>2228041.0711261402</v>
      </c>
      <c r="G274" s="92">
        <f>SUM(E274:F274)</f>
        <v>48458542.284780465</v>
      </c>
      <c r="H274" s="92">
        <v>41888306.350000001</v>
      </c>
      <c r="I274" s="4"/>
      <c r="J274" s="103">
        <f t="shared" si="16"/>
        <v>6570235.9347804636</v>
      </c>
      <c r="K274" s="4"/>
      <c r="L274" s="17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3">
      <c r="A275" s="57"/>
      <c r="B275" s="4"/>
      <c r="C275" s="94"/>
      <c r="D275" s="4" t="s">
        <v>510</v>
      </c>
      <c r="E275" s="92">
        <v>2789323</v>
      </c>
      <c r="F275" s="92">
        <v>145410.67000000001</v>
      </c>
      <c r="G275" s="92">
        <f>SUM(E275:F275)</f>
        <v>2934733.67</v>
      </c>
      <c r="H275" s="92">
        <v>2514487.5099999998</v>
      </c>
      <c r="I275" s="4"/>
      <c r="J275" s="103">
        <f t="shared" si="16"/>
        <v>420246.16000000015</v>
      </c>
      <c r="K275" s="4"/>
      <c r="L275" s="72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3">
      <c r="A276" s="57"/>
      <c r="B276" s="4"/>
      <c r="C276" s="91"/>
      <c r="D276" s="4" t="s">
        <v>507</v>
      </c>
      <c r="E276" s="92">
        <f>SUM(E274:E275)</f>
        <v>49019824.213654324</v>
      </c>
      <c r="F276" s="92">
        <f>SUM(F274:F275)</f>
        <v>2373451.7411261401</v>
      </c>
      <c r="G276" s="92">
        <f>SUM(E276:F276)</f>
        <v>51393275.954780467</v>
      </c>
      <c r="H276" s="92">
        <v>44402793.859999999</v>
      </c>
      <c r="I276" s="4"/>
      <c r="J276" s="103">
        <f t="shared" si="16"/>
        <v>6990482.0947804675</v>
      </c>
      <c r="K276" s="4"/>
      <c r="L276" s="17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3">
      <c r="A277" s="57"/>
      <c r="B277" s="4"/>
      <c r="C277" s="98"/>
      <c r="D277" s="4" t="s">
        <v>80</v>
      </c>
      <c r="E277" s="99">
        <v>0.97</v>
      </c>
      <c r="F277" s="99">
        <f>+E277</f>
        <v>0.97</v>
      </c>
      <c r="G277" s="99">
        <f>+E277</f>
        <v>0.97</v>
      </c>
      <c r="H277" s="99">
        <v>0.96</v>
      </c>
      <c r="I277" s="4"/>
      <c r="J277" s="100">
        <f t="shared" si="16"/>
        <v>1.0000000000000009E-2</v>
      </c>
      <c r="K277" s="4"/>
      <c r="L277" s="17">
        <f>6710863-5674102</f>
        <v>1036761</v>
      </c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5" thickBot="1" x14ac:dyDescent="0.35">
      <c r="A278" s="57"/>
      <c r="B278" s="4"/>
      <c r="C278" s="91"/>
      <c r="D278" s="4" t="s">
        <v>81</v>
      </c>
      <c r="E278" s="101">
        <f>+E276*E277</f>
        <v>47549229.487244695</v>
      </c>
      <c r="F278" s="101">
        <f>+F276*F277</f>
        <v>2302248.1888923557</v>
      </c>
      <c r="G278" s="101">
        <f>+G276*G277</f>
        <v>49851477.676137052</v>
      </c>
      <c r="H278" s="101">
        <f>+H276*H277</f>
        <v>42626682.105599999</v>
      </c>
      <c r="I278" s="4"/>
      <c r="J278" s="102">
        <f t="shared" si="16"/>
        <v>7224795.570537053</v>
      </c>
      <c r="K278" s="4"/>
      <c r="L278" s="17">
        <f>6710863-6503510</f>
        <v>207353</v>
      </c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5" thickTop="1" x14ac:dyDescent="0.3">
      <c r="A279" s="57"/>
      <c r="B279" s="4"/>
      <c r="C279" s="91"/>
      <c r="D279" s="4"/>
      <c r="E279" s="92"/>
      <c r="F279" s="92"/>
      <c r="G279" s="92"/>
      <c r="H279" s="92"/>
      <c r="I279" s="4"/>
      <c r="J279" s="103"/>
      <c r="K279" s="4"/>
      <c r="L279" s="17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3">
      <c r="A280" s="51"/>
      <c r="B280" s="4"/>
      <c r="C280" s="98"/>
      <c r="D280" s="32" t="s">
        <v>82</v>
      </c>
      <c r="E280" s="92"/>
      <c r="F280" s="92"/>
      <c r="G280" s="92"/>
      <c r="H280" s="31"/>
      <c r="I280" s="4"/>
      <c r="J280" s="103"/>
      <c r="K280" s="4"/>
      <c r="L280" s="17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3">
      <c r="A281" s="57"/>
      <c r="B281" s="4"/>
      <c r="C281" s="94"/>
      <c r="D281" s="4" t="s">
        <v>77</v>
      </c>
      <c r="E281" s="95">
        <f>+E273-E282-E284</f>
        <v>0.40709498745299993</v>
      </c>
      <c r="F281" s="12">
        <f>+E281/E273</f>
        <v>0.76079297804058266</v>
      </c>
      <c r="G281" s="92">
        <f>+E278*F281</f>
        <v>36175119.905135982</v>
      </c>
      <c r="H281" s="98">
        <v>31696956.350000001</v>
      </c>
      <c r="I281" s="4"/>
      <c r="J281" s="103">
        <f>+G281-H281</f>
        <v>4478163.5551359802</v>
      </c>
      <c r="K281" s="4"/>
      <c r="L281" s="17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3">
      <c r="A282" s="57"/>
      <c r="B282" s="4"/>
      <c r="C282" s="94"/>
      <c r="D282" s="4" t="s">
        <v>83</v>
      </c>
      <c r="E282" s="95">
        <v>7.0000000000000007E-2</v>
      </c>
      <c r="F282" s="12">
        <f>+E282/E273</f>
        <v>0.13081838417130906</v>
      </c>
      <c r="G282" s="92">
        <f>+E278*F282</f>
        <v>6220313.3701121137</v>
      </c>
      <c r="H282" s="98">
        <v>4935057.2699999996</v>
      </c>
      <c r="I282" s="4"/>
      <c r="J282" s="103">
        <f>+G282-H282</f>
        <v>1285256.1001121141</v>
      </c>
      <c r="K282" s="4"/>
      <c r="L282" s="17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3">
      <c r="A283" s="57"/>
      <c r="B283" s="4"/>
      <c r="C283" s="94"/>
      <c r="D283" s="4" t="s">
        <v>79</v>
      </c>
      <c r="E283" s="95">
        <f>+F273</f>
        <v>2.5852175048400001E-2</v>
      </c>
      <c r="F283" s="12"/>
      <c r="G283" s="92">
        <f>+F278</f>
        <v>2302248.1888923557</v>
      </c>
      <c r="H283" s="98">
        <v>2039995.59</v>
      </c>
      <c r="I283" s="4"/>
      <c r="J283" s="103">
        <f>+G283-H283</f>
        <v>262252.59889235557</v>
      </c>
      <c r="K283" s="4"/>
      <c r="L283" s="17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3">
      <c r="A284" s="57"/>
      <c r="B284" s="4"/>
      <c r="C284" s="94"/>
      <c r="D284" s="4" t="s">
        <v>84</v>
      </c>
      <c r="E284" s="108">
        <v>5.7998000000000001E-2</v>
      </c>
      <c r="F284" s="120">
        <f>+E284/E273</f>
        <v>0.10838863778810832</v>
      </c>
      <c r="G284" s="92">
        <f>+E278*F284</f>
        <v>5153796.2119966047</v>
      </c>
      <c r="H284" s="109">
        <v>3954672.89</v>
      </c>
      <c r="I284" s="4"/>
      <c r="J284" s="110">
        <f>+G284-H284</f>
        <v>1199123.3219966046</v>
      </c>
      <c r="K284" s="4"/>
      <c r="L284" s="17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5" thickBot="1" x14ac:dyDescent="0.35">
      <c r="A285" s="59"/>
      <c r="B285" s="60"/>
      <c r="C285" s="111"/>
      <c r="D285" s="60"/>
      <c r="E285" s="112">
        <f>SUM(E281:E284)</f>
        <v>0.56094516250139992</v>
      </c>
      <c r="F285" s="112">
        <f>SUM(F281:F284)</f>
        <v>1</v>
      </c>
      <c r="G285" s="113">
        <f>SUM(G281:G284)</f>
        <v>49851477.67613706</v>
      </c>
      <c r="H285" s="114">
        <f>SUM(H281:H284)</f>
        <v>42626682.100000009</v>
      </c>
      <c r="I285" s="60"/>
      <c r="J285" s="115">
        <f>SUM(J281:J284)</f>
        <v>7224795.5761370547</v>
      </c>
      <c r="K285" s="4"/>
      <c r="L285" s="17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5" thickBot="1" x14ac:dyDescent="0.35">
      <c r="A286" s="57"/>
      <c r="B286" s="4"/>
      <c r="C286" s="94"/>
      <c r="D286" s="4"/>
      <c r="E286" s="95"/>
      <c r="F286" s="95"/>
      <c r="G286" s="92"/>
      <c r="H286" s="98"/>
      <c r="I286" s="4"/>
      <c r="J286" s="103"/>
      <c r="K286" s="4"/>
      <c r="L286" s="17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5.6" x14ac:dyDescent="0.3">
      <c r="A287" s="85" t="s">
        <v>729</v>
      </c>
      <c r="B287" s="86"/>
      <c r="C287" s="86"/>
      <c r="D287" s="86"/>
      <c r="E287" s="116" t="s">
        <v>575</v>
      </c>
      <c r="F287" s="116"/>
      <c r="G287" s="87">
        <v>2023</v>
      </c>
      <c r="H287" s="87">
        <v>2022</v>
      </c>
      <c r="I287" s="19"/>
      <c r="J287" s="22"/>
      <c r="K287" s="4"/>
      <c r="L287" s="17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5.6" x14ac:dyDescent="0.3">
      <c r="A288" s="117"/>
      <c r="B288" s="4"/>
      <c r="C288" s="4"/>
      <c r="D288" s="4"/>
      <c r="E288" s="92"/>
      <c r="F288" s="92"/>
      <c r="G288" s="118" t="s">
        <v>3</v>
      </c>
      <c r="H288" s="24" t="s">
        <v>601</v>
      </c>
      <c r="I288" s="4"/>
      <c r="J288" s="52"/>
      <c r="K288" s="4"/>
      <c r="L288" s="17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3">
      <c r="A289" s="57"/>
      <c r="B289" s="4"/>
      <c r="C289" s="7"/>
      <c r="D289" s="32"/>
      <c r="E289" s="119" t="s">
        <v>78</v>
      </c>
      <c r="F289" s="119" t="s">
        <v>79</v>
      </c>
      <c r="G289" s="119" t="s">
        <v>11</v>
      </c>
      <c r="H289" s="55" t="s">
        <v>11</v>
      </c>
      <c r="I289" s="4"/>
      <c r="J289" s="90" t="s">
        <v>600</v>
      </c>
      <c r="K289" s="4"/>
      <c r="L289" s="17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3">
      <c r="A290" s="57"/>
      <c r="B290" s="4"/>
      <c r="C290" s="91"/>
      <c r="D290" s="4" t="s">
        <v>506</v>
      </c>
      <c r="E290" s="92">
        <v>8639713526</v>
      </c>
      <c r="F290" s="92">
        <v>8618389234</v>
      </c>
      <c r="G290" s="92"/>
      <c r="H290" s="31"/>
      <c r="I290" s="4"/>
      <c r="J290" s="70"/>
      <c r="K290" s="4"/>
      <c r="L290" s="17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3">
      <c r="A291" s="57"/>
      <c r="B291" s="4"/>
      <c r="C291" s="94"/>
      <c r="D291" s="4" t="s">
        <v>501</v>
      </c>
      <c r="E291" s="95">
        <f>0.448885*1.0349978+0.057998+0.015</f>
        <v>0.53759298745299999</v>
      </c>
      <c r="F291" s="95">
        <f>0.024978*1.0349978</f>
        <v>2.5852175048400001E-2</v>
      </c>
      <c r="G291" s="95">
        <f>SUM(E291:F291)</f>
        <v>0.56344516250139998</v>
      </c>
      <c r="H291" s="95">
        <v>0.60463199999999995</v>
      </c>
      <c r="I291" s="4"/>
      <c r="J291" s="96">
        <f t="shared" ref="J291:J296" si="17">+G291-H291</f>
        <v>-4.1186837498599971E-2</v>
      </c>
      <c r="K291" s="4"/>
      <c r="L291" s="17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3">
      <c r="A292" s="57"/>
      <c r="B292" s="4"/>
      <c r="C292" s="94"/>
      <c r="D292" s="4" t="s">
        <v>508</v>
      </c>
      <c r="E292" s="92">
        <f>(+E290/100)*E291</f>
        <v>46446494.051804326</v>
      </c>
      <c r="F292" s="92">
        <f>(+F290/100)*F291</f>
        <v>2228041.0711261402</v>
      </c>
      <c r="G292" s="92">
        <f>SUM(E292:F292)</f>
        <v>48674535.122930467</v>
      </c>
      <c r="H292" s="92">
        <v>41888306.350000001</v>
      </c>
      <c r="I292" s="4"/>
      <c r="J292" s="103">
        <f t="shared" si="17"/>
        <v>6786228.7729304656</v>
      </c>
      <c r="K292" s="4"/>
      <c r="L292" s="17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3">
      <c r="A293" s="57"/>
      <c r="B293" s="4"/>
      <c r="C293" s="94"/>
      <c r="D293" s="4" t="s">
        <v>510</v>
      </c>
      <c r="E293" s="92">
        <v>2789323</v>
      </c>
      <c r="F293" s="92">
        <v>145410.67000000001</v>
      </c>
      <c r="G293" s="92">
        <f>SUM(E293:F293)</f>
        <v>2934733.67</v>
      </c>
      <c r="H293" s="92">
        <v>2514487.5099999998</v>
      </c>
      <c r="I293" s="4"/>
      <c r="J293" s="103">
        <f t="shared" si="17"/>
        <v>420246.16000000015</v>
      </c>
      <c r="K293" s="4"/>
      <c r="L293" s="17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3">
      <c r="A294" s="57"/>
      <c r="B294" s="4"/>
      <c r="C294" s="91"/>
      <c r="D294" s="4" t="s">
        <v>507</v>
      </c>
      <c r="E294" s="92">
        <f>SUM(E292:E293)</f>
        <v>49235817.051804326</v>
      </c>
      <c r="F294" s="92">
        <f>SUM(F292:F293)</f>
        <v>2373451.7411261401</v>
      </c>
      <c r="G294" s="92">
        <f>SUM(E294:F294)</f>
        <v>51609268.792930469</v>
      </c>
      <c r="H294" s="92">
        <v>44402793.859999999</v>
      </c>
      <c r="I294" s="4"/>
      <c r="J294" s="103">
        <f t="shared" si="17"/>
        <v>7206474.9329304695</v>
      </c>
      <c r="K294" s="4"/>
      <c r="L294" s="17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3">
      <c r="A295" s="57"/>
      <c r="B295" s="4"/>
      <c r="C295" s="98"/>
      <c r="D295" s="4" t="s">
        <v>80</v>
      </c>
      <c r="E295" s="99">
        <v>0.96</v>
      </c>
      <c r="F295" s="99">
        <f>+E295</f>
        <v>0.96</v>
      </c>
      <c r="G295" s="99">
        <f>+E295</f>
        <v>0.96</v>
      </c>
      <c r="H295" s="99">
        <v>0.96</v>
      </c>
      <c r="I295" s="4"/>
      <c r="J295" s="100">
        <f t="shared" si="17"/>
        <v>0</v>
      </c>
      <c r="K295" s="4"/>
      <c r="L295" s="17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5" thickBot="1" x14ac:dyDescent="0.35">
      <c r="A296" s="57"/>
      <c r="B296" s="4"/>
      <c r="C296" s="91"/>
      <c r="D296" s="4" t="s">
        <v>81</v>
      </c>
      <c r="E296" s="101">
        <f>+E294*E295</f>
        <v>47266384.369732149</v>
      </c>
      <c r="F296" s="101">
        <f>+F294*F295</f>
        <v>2278513.6714810943</v>
      </c>
      <c r="G296" s="101">
        <f>+G294*G295</f>
        <v>49544898.041213252</v>
      </c>
      <c r="H296" s="101">
        <f>+H294*H295</f>
        <v>42626682.105599999</v>
      </c>
      <c r="I296" s="4"/>
      <c r="J296" s="102">
        <f t="shared" si="17"/>
        <v>6918215.9356132522</v>
      </c>
      <c r="K296" s="4"/>
      <c r="L296" s="17">
        <f>6918216-6710863</f>
        <v>207353</v>
      </c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5" thickTop="1" x14ac:dyDescent="0.3">
      <c r="A297" s="57"/>
      <c r="B297" s="4"/>
      <c r="C297" s="91"/>
      <c r="D297" s="4"/>
      <c r="E297" s="92"/>
      <c r="F297" s="92"/>
      <c r="G297" s="92"/>
      <c r="H297" s="92"/>
      <c r="I297" s="4"/>
      <c r="J297" s="103"/>
      <c r="K297" s="4"/>
      <c r="L297" s="17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3">
      <c r="A298" s="51"/>
      <c r="B298" s="4"/>
      <c r="C298" s="98"/>
      <c r="D298" s="32" t="s">
        <v>82</v>
      </c>
      <c r="E298" s="92"/>
      <c r="F298" s="92"/>
      <c r="G298" s="92"/>
      <c r="H298" s="31"/>
      <c r="I298" s="4"/>
      <c r="J298" s="103"/>
      <c r="K298" s="4"/>
      <c r="L298" s="17">
        <f>5674102-6918216</f>
        <v>-1244114</v>
      </c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3">
      <c r="A299" s="57"/>
      <c r="B299" s="4"/>
      <c r="C299" s="94"/>
      <c r="D299" s="4" t="s">
        <v>77</v>
      </c>
      <c r="E299" s="95">
        <f>+E291-E300-E302</f>
        <v>0.40959498745299999</v>
      </c>
      <c r="F299" s="12">
        <f>+E299/E291</f>
        <v>0.76190537639557576</v>
      </c>
      <c r="G299" s="92">
        <f>+E296*F299</f>
        <v>36012512.374078728</v>
      </c>
      <c r="H299" s="98">
        <v>31696956.350000001</v>
      </c>
      <c r="I299" s="4"/>
      <c r="J299" s="103">
        <f>+G299-H299</f>
        <v>4315556.0240787268</v>
      </c>
      <c r="K299" s="4"/>
      <c r="L299" s="17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3">
      <c r="A300" s="57"/>
      <c r="B300" s="4"/>
      <c r="C300" s="94"/>
      <c r="D300" s="4" t="s">
        <v>83</v>
      </c>
      <c r="E300" s="95">
        <v>7.0000000000000007E-2</v>
      </c>
      <c r="F300" s="12">
        <f>+E300/E291</f>
        <v>0.13021003181541663</v>
      </c>
      <c r="G300" s="92">
        <f>+E296*F300</f>
        <v>6154557.4125825344</v>
      </c>
      <c r="H300" s="98">
        <v>4935057.2699999996</v>
      </c>
      <c r="I300" s="4"/>
      <c r="J300" s="103">
        <f>+G300-H300</f>
        <v>1219500.1425825348</v>
      </c>
      <c r="K300" s="4"/>
      <c r="L300" s="17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57"/>
      <c r="B301" s="4"/>
      <c r="C301" s="94"/>
      <c r="D301" s="4" t="s">
        <v>79</v>
      </c>
      <c r="E301" s="95">
        <f>+F291</f>
        <v>2.5852175048400001E-2</v>
      </c>
      <c r="F301" s="12"/>
      <c r="G301" s="92">
        <f>+F296</f>
        <v>2278513.6714810943</v>
      </c>
      <c r="H301" s="98">
        <v>2039995.59</v>
      </c>
      <c r="I301" s="4"/>
      <c r="J301" s="103">
        <f>+G301-H301</f>
        <v>238518.08148109424</v>
      </c>
      <c r="K301" s="4"/>
      <c r="L301" s="17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57"/>
      <c r="B302" s="4"/>
      <c r="C302" s="94"/>
      <c r="D302" s="4" t="s">
        <v>84</v>
      </c>
      <c r="E302" s="108">
        <v>5.7998000000000001E-2</v>
      </c>
      <c r="F302" s="120">
        <f>+E302/E291</f>
        <v>0.10788459178900763</v>
      </c>
      <c r="G302" s="92">
        <f>+E296*F302</f>
        <v>5099314.5830708835</v>
      </c>
      <c r="H302" s="109">
        <v>3954672.89</v>
      </c>
      <c r="I302" s="4"/>
      <c r="J302" s="110">
        <f>+G302-H302</f>
        <v>1144641.6930708834</v>
      </c>
      <c r="K302" s="4"/>
      <c r="L302" s="17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5" thickBot="1" x14ac:dyDescent="0.35">
      <c r="A303" s="59"/>
      <c r="B303" s="60"/>
      <c r="C303" s="111"/>
      <c r="D303" s="60"/>
      <c r="E303" s="112">
        <f>SUM(E299:E302)</f>
        <v>0.56344516250139998</v>
      </c>
      <c r="F303" s="112">
        <f>SUM(F299:F302)</f>
        <v>1</v>
      </c>
      <c r="G303" s="113">
        <f>SUM(G299:G302)</f>
        <v>49544898.041213237</v>
      </c>
      <c r="H303" s="114">
        <f>SUM(H299:H302)</f>
        <v>42626682.100000009</v>
      </c>
      <c r="I303" s="60"/>
      <c r="J303" s="115">
        <f>SUM(J299:J302)</f>
        <v>6918215.941213239</v>
      </c>
      <c r="K303" s="4"/>
      <c r="L303" s="17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5" thickBot="1" x14ac:dyDescent="0.35">
      <c r="A304" s="57"/>
      <c r="B304" s="4"/>
      <c r="C304" s="94"/>
      <c r="D304" s="4"/>
      <c r="E304" s="95"/>
      <c r="F304" s="95"/>
      <c r="G304" s="92"/>
      <c r="H304" s="98"/>
      <c r="I304" s="4"/>
      <c r="J304" s="103"/>
      <c r="K304" s="4"/>
      <c r="L304" s="17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5.6" x14ac:dyDescent="0.3">
      <c r="A305" s="85" t="s">
        <v>706</v>
      </c>
      <c r="B305" s="86"/>
      <c r="C305" s="86"/>
      <c r="D305" s="86"/>
      <c r="E305" s="116" t="s">
        <v>575</v>
      </c>
      <c r="F305" s="116"/>
      <c r="G305" s="87">
        <v>2023</v>
      </c>
      <c r="H305" s="87">
        <v>2022</v>
      </c>
      <c r="I305" s="19"/>
      <c r="J305" s="22"/>
      <c r="K305" s="4"/>
      <c r="L305" s="17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5.6" x14ac:dyDescent="0.3">
      <c r="A306" s="117"/>
      <c r="B306" s="4"/>
      <c r="C306" s="4"/>
      <c r="D306" s="4"/>
      <c r="E306" s="95"/>
      <c r="F306" s="94"/>
      <c r="G306" s="118" t="s">
        <v>3</v>
      </c>
      <c r="H306" s="24" t="s">
        <v>601</v>
      </c>
      <c r="I306" s="4"/>
      <c r="J306" s="52"/>
      <c r="K306" s="4"/>
      <c r="L306" s="17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3">
      <c r="A307" s="57"/>
      <c r="B307" s="4"/>
      <c r="C307" s="7"/>
      <c r="D307" s="32"/>
      <c r="E307" s="119" t="s">
        <v>78</v>
      </c>
      <c r="F307" s="119" t="s">
        <v>79</v>
      </c>
      <c r="G307" s="119" t="s">
        <v>11</v>
      </c>
      <c r="H307" s="55" t="s">
        <v>11</v>
      </c>
      <c r="I307" s="4"/>
      <c r="J307" s="90" t="s">
        <v>600</v>
      </c>
      <c r="K307" s="4"/>
      <c r="L307" s="17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3">
      <c r="A308" s="57"/>
      <c r="B308" s="4"/>
      <c r="C308" s="91"/>
      <c r="D308" s="4" t="s">
        <v>506</v>
      </c>
      <c r="E308" s="92">
        <v>8639713526</v>
      </c>
      <c r="F308" s="92">
        <v>8618389234</v>
      </c>
      <c r="G308" s="92"/>
      <c r="H308" s="31"/>
      <c r="I308" s="4"/>
      <c r="J308" s="70"/>
      <c r="K308" s="4"/>
      <c r="L308" s="17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3">
      <c r="A309" s="57"/>
      <c r="B309" s="4"/>
      <c r="C309" s="94"/>
      <c r="D309" s="4" t="s">
        <v>501</v>
      </c>
      <c r="E309" s="95">
        <f>0.448885*1.0349978+0.057998+0.018186</f>
        <v>0.54077898745300002</v>
      </c>
      <c r="F309" s="95">
        <f>0.024978*1.0349978</f>
        <v>2.5852175048400001E-2</v>
      </c>
      <c r="G309" s="95">
        <f>SUM(E309:F309)</f>
        <v>0.5666311625014</v>
      </c>
      <c r="H309" s="95">
        <v>0.60463199999999995</v>
      </c>
      <c r="I309" s="4"/>
      <c r="J309" s="96">
        <f t="shared" ref="J309:J314" si="18">+G309-H309</f>
        <v>-3.8000837498599949E-2</v>
      </c>
      <c r="K309" s="4"/>
      <c r="L309" s="17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3">
      <c r="A310" s="57"/>
      <c r="B310" s="4"/>
      <c r="C310" s="94"/>
      <c r="D310" s="4" t="s">
        <v>508</v>
      </c>
      <c r="E310" s="92">
        <f>(+E308/100)*E309</f>
        <v>46721755.32474269</v>
      </c>
      <c r="F310" s="92">
        <f>(+F308/100)*F309</f>
        <v>2228041.0711261402</v>
      </c>
      <c r="G310" s="92">
        <f>SUM(E310:F310)</f>
        <v>48949796.39586883</v>
      </c>
      <c r="H310" s="92">
        <v>41888306.350000001</v>
      </c>
      <c r="I310" s="4"/>
      <c r="J310" s="103">
        <f t="shared" si="18"/>
        <v>7061490.0458688289</v>
      </c>
      <c r="K310" s="4"/>
      <c r="L310" s="17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3">
      <c r="A311" s="57"/>
      <c r="B311" s="4"/>
      <c r="C311" s="94"/>
      <c r="D311" s="4" t="s">
        <v>510</v>
      </c>
      <c r="E311" s="92">
        <v>2789323</v>
      </c>
      <c r="F311" s="92">
        <v>145410.67000000001</v>
      </c>
      <c r="G311" s="92">
        <f>SUM(E311:F311)</f>
        <v>2934733.67</v>
      </c>
      <c r="H311" s="92">
        <v>2514487.5099999998</v>
      </c>
      <c r="I311" s="4"/>
      <c r="J311" s="103">
        <f t="shared" si="18"/>
        <v>420246.16000000015</v>
      </c>
      <c r="K311" s="4"/>
      <c r="L311" s="17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3">
      <c r="A312" s="57"/>
      <c r="B312" s="4"/>
      <c r="C312" s="91"/>
      <c r="D312" s="4" t="s">
        <v>507</v>
      </c>
      <c r="E312" s="92">
        <f>SUM(E310:E311)</f>
        <v>49511078.32474269</v>
      </c>
      <c r="F312" s="92">
        <f>SUM(F310:F311)</f>
        <v>2373451.7411261401</v>
      </c>
      <c r="G312" s="92">
        <f>SUM(E312:F312)</f>
        <v>51884530.065868832</v>
      </c>
      <c r="H312" s="92">
        <v>44402793.859999999</v>
      </c>
      <c r="I312" s="4"/>
      <c r="J312" s="103">
        <f t="shared" si="18"/>
        <v>7481736.2058688328</v>
      </c>
      <c r="K312" s="4"/>
      <c r="L312" s="17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3">
      <c r="A313" s="57"/>
      <c r="B313" s="4"/>
      <c r="C313" s="98"/>
      <c r="D313" s="4" t="s">
        <v>80</v>
      </c>
      <c r="E313" s="99">
        <v>0.97</v>
      </c>
      <c r="F313" s="99">
        <f>+E313</f>
        <v>0.97</v>
      </c>
      <c r="G313" s="99">
        <f>+E313</f>
        <v>0.97</v>
      </c>
      <c r="H313" s="99">
        <v>0.96</v>
      </c>
      <c r="I313" s="4"/>
      <c r="J313" s="100">
        <f t="shared" si="18"/>
        <v>1.0000000000000009E-2</v>
      </c>
      <c r="K313" s="4"/>
      <c r="L313" s="17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5" thickBot="1" x14ac:dyDescent="0.35">
      <c r="A314" s="57"/>
      <c r="B314" s="4"/>
      <c r="C314" s="91"/>
      <c r="D314" s="4" t="s">
        <v>81</v>
      </c>
      <c r="E314" s="101">
        <f>+E312*E313</f>
        <v>48025745.975000411</v>
      </c>
      <c r="F314" s="101">
        <f>+F312*F313</f>
        <v>2302248.1888923557</v>
      </c>
      <c r="G314" s="101">
        <f>+G312*G313</f>
        <v>50327994.163892768</v>
      </c>
      <c r="H314" s="101">
        <f>+H312*H313</f>
        <v>42626682.105599999</v>
      </c>
      <c r="I314" s="4"/>
      <c r="J314" s="102">
        <f t="shared" si="18"/>
        <v>7701312.0582927689</v>
      </c>
      <c r="K314" s="4"/>
      <c r="L314" s="17">
        <f>-5674102+7182467</f>
        <v>1508365</v>
      </c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5" thickTop="1" x14ac:dyDescent="0.3">
      <c r="A315" s="57"/>
      <c r="B315" s="4"/>
      <c r="C315" s="91"/>
      <c r="D315" s="4"/>
      <c r="E315" s="92"/>
      <c r="F315" s="92"/>
      <c r="G315" s="92"/>
      <c r="H315" s="92"/>
      <c r="I315" s="4"/>
      <c r="J315" s="103"/>
      <c r="K315" s="4"/>
      <c r="L315" s="17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3">
      <c r="A316" s="51"/>
      <c r="B316" s="4"/>
      <c r="C316" s="98"/>
      <c r="D316" s="32" t="s">
        <v>82</v>
      </c>
      <c r="E316" s="92"/>
      <c r="F316" s="92"/>
      <c r="G316" s="92"/>
      <c r="H316" s="31"/>
      <c r="I316" s="4"/>
      <c r="J316" s="103"/>
      <c r="K316" s="4"/>
      <c r="L316" s="17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3">
      <c r="A317" s="57"/>
      <c r="B317" s="4"/>
      <c r="C317" s="94"/>
      <c r="D317" s="4" t="s">
        <v>77</v>
      </c>
      <c r="E317" s="95">
        <f>+E309-E318-E320</f>
        <v>0.41278098745300001</v>
      </c>
      <c r="F317" s="12">
        <f>+E317/E309</f>
        <v>0.76330811113269348</v>
      </c>
      <c r="G317" s="92">
        <f>+E314*F317</f>
        <v>36658441.445916124</v>
      </c>
      <c r="H317" s="98">
        <v>31696956.350000001</v>
      </c>
      <c r="I317" s="4"/>
      <c r="J317" s="103">
        <f>+G317-H317</f>
        <v>4961485.0959161222</v>
      </c>
      <c r="K317" s="4"/>
      <c r="L317" s="17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3">
      <c r="A318" s="57"/>
      <c r="B318" s="4"/>
      <c r="C318" s="94"/>
      <c r="D318" s="4" t="s">
        <v>83</v>
      </c>
      <c r="E318" s="95">
        <v>7.0000000000000007E-2</v>
      </c>
      <c r="F318" s="12">
        <f>+E318/E309</f>
        <v>0.12944289926960934</v>
      </c>
      <c r="G318" s="92">
        <f>+E314*F318</f>
        <v>6216591.7985898238</v>
      </c>
      <c r="H318" s="98">
        <v>4935057.2699999996</v>
      </c>
      <c r="I318" s="4"/>
      <c r="J318" s="103">
        <f>+G318-H318</f>
        <v>1281534.5285898242</v>
      </c>
      <c r="K318" s="4"/>
      <c r="L318" s="17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3">
      <c r="A319" s="57"/>
      <c r="B319" s="4"/>
      <c r="C319" s="94"/>
      <c r="D319" s="4" t="s">
        <v>79</v>
      </c>
      <c r="E319" s="95">
        <f>+F309</f>
        <v>2.5852175048400001E-2</v>
      </c>
      <c r="F319" s="12"/>
      <c r="G319" s="92">
        <f>+F314</f>
        <v>2302248.1888923557</v>
      </c>
      <c r="H319" s="98">
        <v>2039995.59</v>
      </c>
      <c r="I319" s="4"/>
      <c r="J319" s="103">
        <f>+G319-H319</f>
        <v>262252.59889235557</v>
      </c>
      <c r="K319" s="4"/>
      <c r="L319" s="17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3">
      <c r="A320" s="57"/>
      <c r="B320" s="4"/>
      <c r="C320" s="94"/>
      <c r="D320" s="4" t="s">
        <v>84</v>
      </c>
      <c r="E320" s="108">
        <v>5.7998000000000001E-2</v>
      </c>
      <c r="F320" s="120">
        <f>+E320/E309</f>
        <v>0.10724898959769716</v>
      </c>
      <c r="G320" s="92">
        <f>+E314*F320</f>
        <v>5150712.7304944657</v>
      </c>
      <c r="H320" s="109">
        <v>3954672.89</v>
      </c>
      <c r="I320" s="4"/>
      <c r="J320" s="110">
        <f>+G320-H320</f>
        <v>1196039.8404944655</v>
      </c>
      <c r="K320" s="4"/>
      <c r="L320" s="17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5" thickBot="1" x14ac:dyDescent="0.35">
      <c r="A321" s="59"/>
      <c r="B321" s="60"/>
      <c r="C321" s="111"/>
      <c r="D321" s="60"/>
      <c r="E321" s="112">
        <f>SUM(E317:E320)</f>
        <v>0.5666311625014</v>
      </c>
      <c r="F321" s="112">
        <f>SUM(F317:F320)</f>
        <v>1</v>
      </c>
      <c r="G321" s="113">
        <f>SUM(G317:G320)</f>
        <v>50327994.163892776</v>
      </c>
      <c r="H321" s="114">
        <f>SUM(H317:H320)</f>
        <v>42626682.100000009</v>
      </c>
      <c r="I321" s="60"/>
      <c r="J321" s="115">
        <f>SUM(J317:J320)</f>
        <v>7701312.0638927668</v>
      </c>
      <c r="K321" s="4"/>
      <c r="L321" s="17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5" thickBot="1" x14ac:dyDescent="0.35">
      <c r="A322" s="4"/>
      <c r="B322" s="4"/>
      <c r="C322" s="4"/>
      <c r="D322" s="4"/>
      <c r="E322" s="31"/>
      <c r="F322" s="31"/>
      <c r="G322" s="31"/>
      <c r="H322" s="31"/>
      <c r="I322" s="4"/>
      <c r="J322" s="4"/>
      <c r="K322" s="4"/>
      <c r="L322" s="17" t="s">
        <v>703</v>
      </c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5.6" x14ac:dyDescent="0.3">
      <c r="A323" s="85" t="s">
        <v>707</v>
      </c>
      <c r="B323" s="86"/>
      <c r="C323" s="86"/>
      <c r="D323" s="86"/>
      <c r="E323" s="116" t="s">
        <v>575</v>
      </c>
      <c r="F323" s="116"/>
      <c r="G323" s="87">
        <v>2023</v>
      </c>
      <c r="H323" s="87">
        <v>2022</v>
      </c>
      <c r="I323" s="19"/>
      <c r="J323" s="22"/>
      <c r="K323" s="4"/>
      <c r="L323" s="31" t="s">
        <v>697</v>
      </c>
      <c r="M323" s="4"/>
      <c r="N323" s="4">
        <v>0.44888499999999998</v>
      </c>
      <c r="O323" s="4"/>
      <c r="P323" s="4"/>
      <c r="Q323" s="4"/>
      <c r="R323" s="4"/>
      <c r="S323" s="4"/>
      <c r="T323" s="4"/>
      <c r="U323" s="4"/>
    </row>
    <row r="324" spans="1:21" ht="15.6" x14ac:dyDescent="0.3">
      <c r="A324" s="117"/>
      <c r="B324" s="4"/>
      <c r="C324" s="4"/>
      <c r="D324" s="4"/>
      <c r="E324" s="95">
        <f>0.018186-0.001033</f>
        <v>1.7153000000000002E-2</v>
      </c>
      <c r="F324" s="94">
        <v>1.0330000000000001E-3</v>
      </c>
      <c r="G324" s="118" t="s">
        <v>3</v>
      </c>
      <c r="H324" s="24" t="s">
        <v>601</v>
      </c>
      <c r="I324" s="4"/>
      <c r="J324" s="52"/>
      <c r="K324" s="4"/>
      <c r="L324" s="31" t="s">
        <v>698</v>
      </c>
      <c r="M324" s="4"/>
      <c r="N324" s="4">
        <v>2.4978E-2</v>
      </c>
      <c r="O324" s="4"/>
      <c r="P324" s="4"/>
      <c r="Q324" s="4"/>
      <c r="R324" s="4"/>
      <c r="S324" s="4"/>
      <c r="T324" s="4"/>
      <c r="U324" s="4"/>
    </row>
    <row r="325" spans="1:21" x14ac:dyDescent="0.3">
      <c r="A325" s="57"/>
      <c r="B325" s="4"/>
      <c r="C325" s="7"/>
      <c r="D325" s="32"/>
      <c r="E325" s="119" t="s">
        <v>78</v>
      </c>
      <c r="F325" s="119" t="s">
        <v>79</v>
      </c>
      <c r="G325" s="119" t="s">
        <v>11</v>
      </c>
      <c r="H325" s="55" t="s">
        <v>11</v>
      </c>
      <c r="I325" s="4"/>
      <c r="J325" s="90" t="s">
        <v>600</v>
      </c>
      <c r="K325" s="4"/>
      <c r="L325" s="31" t="s">
        <v>84</v>
      </c>
      <c r="M325" s="4"/>
      <c r="N325" s="80">
        <v>5.7998000000000001E-2</v>
      </c>
      <c r="O325" s="4"/>
      <c r="P325" s="4"/>
      <c r="Q325" s="4"/>
      <c r="R325" s="4"/>
      <c r="S325" s="4"/>
      <c r="T325" s="4"/>
      <c r="U325" s="4"/>
    </row>
    <row r="326" spans="1:21" x14ac:dyDescent="0.3">
      <c r="A326" s="57"/>
      <c r="B326" s="4"/>
      <c r="C326" s="91"/>
      <c r="D326" s="4" t="s">
        <v>506</v>
      </c>
      <c r="E326" s="92">
        <v>8639713526</v>
      </c>
      <c r="F326" s="92">
        <v>8618389234</v>
      </c>
      <c r="G326" s="92"/>
      <c r="H326" s="31"/>
      <c r="I326" s="4"/>
      <c r="J326" s="70"/>
      <c r="K326" s="4"/>
      <c r="L326" s="31" t="s">
        <v>699</v>
      </c>
      <c r="M326" s="4"/>
      <c r="N326" s="81">
        <f>SUM(N323:N325)</f>
        <v>0.53186100000000003</v>
      </c>
      <c r="O326" s="4"/>
      <c r="P326" s="4"/>
      <c r="Q326" s="4"/>
      <c r="R326" s="4"/>
      <c r="S326" s="4"/>
      <c r="T326" s="4"/>
      <c r="U326" s="4"/>
    </row>
    <row r="327" spans="1:21" x14ac:dyDescent="0.3">
      <c r="A327" s="57"/>
      <c r="B327" s="4"/>
      <c r="C327" s="94"/>
      <c r="D327" s="4" t="s">
        <v>501</v>
      </c>
      <c r="E327" s="95">
        <f>0.448885*1.0349978+0.057998+0.065096</f>
        <v>0.58768898745300002</v>
      </c>
      <c r="F327" s="95">
        <f>0.024978*1.0349978</f>
        <v>2.5852175048400001E-2</v>
      </c>
      <c r="G327" s="95">
        <f>SUM(E327:F327)</f>
        <v>0.61354116250140001</v>
      </c>
      <c r="H327" s="95">
        <v>0.60463199999999995</v>
      </c>
      <c r="I327" s="4"/>
      <c r="J327" s="96">
        <f t="shared" ref="J327:J332" si="19">+G327-H327</f>
        <v>8.9091625014000586E-3</v>
      </c>
      <c r="K327" s="4"/>
      <c r="L327" s="31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3">
      <c r="A328" s="57"/>
      <c r="B328" s="4"/>
      <c r="C328" s="94"/>
      <c r="D328" s="4" t="s">
        <v>508</v>
      </c>
      <c r="E328" s="92">
        <f>(+E326/100)*E327</f>
        <v>50774644.939789288</v>
      </c>
      <c r="F328" s="92">
        <f>(+F326/100)*F327</f>
        <v>2228041.0711261402</v>
      </c>
      <c r="G328" s="92">
        <f>SUM(E328:F328)</f>
        <v>53002686.010915428</v>
      </c>
      <c r="H328" s="92">
        <v>41888306.350000001</v>
      </c>
      <c r="I328" s="4"/>
      <c r="J328" s="103">
        <f t="shared" si="19"/>
        <v>11114379.660915427</v>
      </c>
      <c r="K328" s="4"/>
      <c r="L328" s="31" t="s">
        <v>689</v>
      </c>
      <c r="M328" s="4"/>
      <c r="N328" s="4">
        <v>0.54844499999999996</v>
      </c>
      <c r="O328" s="4"/>
      <c r="P328" s="4"/>
      <c r="Q328" s="4"/>
      <c r="R328" s="4"/>
      <c r="S328" s="4"/>
      <c r="T328" s="4"/>
      <c r="U328" s="4"/>
    </row>
    <row r="329" spans="1:21" x14ac:dyDescent="0.3">
      <c r="A329" s="57"/>
      <c r="B329" s="4"/>
      <c r="C329" s="94"/>
      <c r="D329" s="4" t="s">
        <v>510</v>
      </c>
      <c r="E329" s="92">
        <v>2789323</v>
      </c>
      <c r="F329" s="92">
        <v>145410.67000000001</v>
      </c>
      <c r="G329" s="92">
        <f>SUM(E329:F329)</f>
        <v>2934733.67</v>
      </c>
      <c r="H329" s="92">
        <v>2514487.5099999998</v>
      </c>
      <c r="I329" s="4"/>
      <c r="J329" s="103">
        <f t="shared" si="19"/>
        <v>420246.16000000015</v>
      </c>
      <c r="K329" s="4"/>
      <c r="L329" s="31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3">
      <c r="A330" s="57"/>
      <c r="B330" s="4"/>
      <c r="C330" s="91"/>
      <c r="D330" s="4" t="s">
        <v>507</v>
      </c>
      <c r="E330" s="92">
        <f>SUM(E328:E329)</f>
        <v>53563967.939789288</v>
      </c>
      <c r="F330" s="92">
        <f>SUM(F328:F329)</f>
        <v>2373451.7411261401</v>
      </c>
      <c r="G330" s="92">
        <f>SUM(E330:F330)</f>
        <v>55937419.68091543</v>
      </c>
      <c r="H330" s="92">
        <v>44402793.859999999</v>
      </c>
      <c r="I330" s="4"/>
      <c r="J330" s="103">
        <f t="shared" si="19"/>
        <v>11534625.820915431</v>
      </c>
      <c r="K330" s="4"/>
      <c r="L330" s="31" t="s">
        <v>689</v>
      </c>
      <c r="M330" s="4"/>
      <c r="N330" s="69">
        <v>0.54844499999999996</v>
      </c>
      <c r="O330" s="4"/>
      <c r="P330" s="4"/>
      <c r="Q330" s="4"/>
      <c r="R330" s="4"/>
      <c r="S330" s="4"/>
      <c r="T330" s="4"/>
      <c r="U330" s="4"/>
    </row>
    <row r="331" spans="1:21" x14ac:dyDescent="0.3">
      <c r="A331" s="57"/>
      <c r="B331" s="4"/>
      <c r="C331" s="98"/>
      <c r="D331" s="4" t="s">
        <v>80</v>
      </c>
      <c r="E331" s="99">
        <v>0.97</v>
      </c>
      <c r="F331" s="99">
        <f>+E331</f>
        <v>0.97</v>
      </c>
      <c r="G331" s="99">
        <f>+E331</f>
        <v>0.97</v>
      </c>
      <c r="H331" s="99">
        <v>0.96</v>
      </c>
      <c r="I331" s="4"/>
      <c r="J331" s="100">
        <f t="shared" si="19"/>
        <v>1.0000000000000009E-2</v>
      </c>
      <c r="K331" s="4"/>
      <c r="L331" s="31" t="s">
        <v>700</v>
      </c>
      <c r="M331" s="4"/>
      <c r="N331" s="126">
        <v>6.5096000000000001E-2</v>
      </c>
      <c r="O331" s="4"/>
      <c r="P331" s="4"/>
      <c r="Q331" s="4"/>
      <c r="R331" s="4"/>
      <c r="S331" s="4"/>
      <c r="T331" s="4"/>
      <c r="U331" s="4"/>
    </row>
    <row r="332" spans="1:21" ht="15" thickBot="1" x14ac:dyDescent="0.35">
      <c r="A332" s="57"/>
      <c r="B332" s="4"/>
      <c r="C332" s="91"/>
      <c r="D332" s="4" t="s">
        <v>81</v>
      </c>
      <c r="E332" s="101">
        <f>+E330*E331</f>
        <v>51957048.901595607</v>
      </c>
      <c r="F332" s="101">
        <f>+F330*F331</f>
        <v>2302248.1888923557</v>
      </c>
      <c r="G332" s="101">
        <f>+G330*G331</f>
        <v>54259297.090487964</v>
      </c>
      <c r="H332" s="101">
        <f>+H330*H331</f>
        <v>42626682.105599999</v>
      </c>
      <c r="I332" s="4"/>
      <c r="J332" s="102">
        <f t="shared" si="19"/>
        <v>11632614.984887965</v>
      </c>
      <c r="K332" s="4"/>
      <c r="L332" s="31" t="s">
        <v>701</v>
      </c>
      <c r="M332" s="4"/>
      <c r="N332" s="127">
        <f>SUM(N330:N331)</f>
        <v>0.613541</v>
      </c>
      <c r="O332" s="4"/>
      <c r="P332" s="4"/>
      <c r="Q332" s="4"/>
      <c r="R332" s="4"/>
      <c r="S332" s="4"/>
      <c r="T332" s="4"/>
      <c r="U332" s="4"/>
    </row>
    <row r="333" spans="1:21" ht="15" thickTop="1" x14ac:dyDescent="0.3">
      <c r="A333" s="57"/>
      <c r="B333" s="4"/>
      <c r="C333" s="91"/>
      <c r="D333" s="4"/>
      <c r="E333" s="92"/>
      <c r="F333" s="92"/>
      <c r="G333" s="92"/>
      <c r="H333" s="92"/>
      <c r="I333" s="4"/>
      <c r="J333" s="103"/>
      <c r="K333" s="4"/>
      <c r="L333" s="31" t="s">
        <v>702</v>
      </c>
      <c r="M333" s="4"/>
      <c r="N333" s="69"/>
      <c r="O333" s="4"/>
      <c r="P333" s="4"/>
      <c r="Q333" s="4"/>
      <c r="R333" s="4"/>
      <c r="S333" s="4"/>
      <c r="T333" s="4"/>
      <c r="U333" s="4"/>
    </row>
    <row r="334" spans="1:21" x14ac:dyDescent="0.3">
      <c r="A334" s="51"/>
      <c r="B334" s="4"/>
      <c r="C334" s="98"/>
      <c r="D334" s="32" t="s">
        <v>82</v>
      </c>
      <c r="E334" s="92"/>
      <c r="F334" s="92"/>
      <c r="G334" s="92"/>
      <c r="H334" s="31"/>
      <c r="I334" s="4"/>
      <c r="J334" s="103"/>
      <c r="K334" s="4"/>
      <c r="L334" s="17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3">
      <c r="A335" s="57"/>
      <c r="B335" s="4"/>
      <c r="C335" s="94"/>
      <c r="D335" s="4" t="s">
        <v>77</v>
      </c>
      <c r="E335" s="95">
        <f>+E327-E336-E338</f>
        <v>0.45969098745299997</v>
      </c>
      <c r="F335" s="12">
        <f>+E335/E327</f>
        <v>0.78220112553966037</v>
      </c>
      <c r="G335" s="92">
        <f>+E332*F335</f>
        <v>40640862.130547255</v>
      </c>
      <c r="H335" s="98">
        <v>31696956.350000001</v>
      </c>
      <c r="I335" s="4"/>
      <c r="J335" s="103">
        <f>+G335-H335</f>
        <v>8943905.7805472538</v>
      </c>
      <c r="K335" s="4"/>
      <c r="L335" s="17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3">
      <c r="A336" s="57"/>
      <c r="B336" s="4"/>
      <c r="C336" s="94"/>
      <c r="D336" s="4" t="s">
        <v>83</v>
      </c>
      <c r="E336" s="95">
        <v>7.0000000000000007E-2</v>
      </c>
      <c r="F336" s="12">
        <f>+E336/E327</f>
        <v>0.11911062057394466</v>
      </c>
      <c r="G336" s="92">
        <f>+E332*F336</f>
        <v>6188636.337859842</v>
      </c>
      <c r="H336" s="98">
        <v>4935057.2699999996</v>
      </c>
      <c r="I336" s="4"/>
      <c r="J336" s="103">
        <f>+G336-H336</f>
        <v>1253579.0678598424</v>
      </c>
      <c r="K336" s="4"/>
      <c r="L336" s="17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3">
      <c r="A337" s="57"/>
      <c r="B337" s="4"/>
      <c r="C337" s="94"/>
      <c r="D337" s="4" t="s">
        <v>79</v>
      </c>
      <c r="E337" s="95">
        <f>+F327</f>
        <v>2.5852175048400001E-2</v>
      </c>
      <c r="F337" s="12"/>
      <c r="G337" s="92">
        <f>+F332</f>
        <v>2302248.1888923557</v>
      </c>
      <c r="H337" s="98">
        <v>2039995.59</v>
      </c>
      <c r="I337" s="4"/>
      <c r="J337" s="103">
        <f>+G337-H337</f>
        <v>262252.59889235557</v>
      </c>
      <c r="K337" s="4"/>
      <c r="L337" s="17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3">
      <c r="A338" s="57"/>
      <c r="B338" s="4"/>
      <c r="C338" s="94"/>
      <c r="D338" s="4" t="s">
        <v>84</v>
      </c>
      <c r="E338" s="108">
        <v>5.7998000000000001E-2</v>
      </c>
      <c r="F338" s="120">
        <f>+E338/E327</f>
        <v>9.8688253886394878E-2</v>
      </c>
      <c r="G338" s="92">
        <f>+E332*F338</f>
        <v>5127550.4331885017</v>
      </c>
      <c r="H338" s="109">
        <v>3954672.89</v>
      </c>
      <c r="I338" s="4"/>
      <c r="J338" s="110">
        <f>+G338-H338</f>
        <v>1172877.5431885016</v>
      </c>
      <c r="K338" s="4"/>
      <c r="L338" s="17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5" thickBot="1" x14ac:dyDescent="0.35">
      <c r="A339" s="59"/>
      <c r="B339" s="60"/>
      <c r="C339" s="111"/>
      <c r="D339" s="60"/>
      <c r="E339" s="112">
        <f>SUM(E335:E338)</f>
        <v>0.61354116250140001</v>
      </c>
      <c r="F339" s="112">
        <f>SUM(F335:F338)</f>
        <v>0.99999999999999989</v>
      </c>
      <c r="G339" s="113">
        <f>SUM(G335:G338)</f>
        <v>54259297.090487957</v>
      </c>
      <c r="H339" s="114">
        <f>SUM(H335:H338)</f>
        <v>42626682.100000009</v>
      </c>
      <c r="I339" s="60"/>
      <c r="J339" s="115">
        <f>SUM(J335:J338)</f>
        <v>11632614.990487954</v>
      </c>
      <c r="K339" s="4"/>
      <c r="L339" s="17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3">
      <c r="A340" s="4"/>
      <c r="B340" s="4"/>
      <c r="C340" s="4"/>
      <c r="D340" s="4"/>
      <c r="E340" s="31"/>
      <c r="F340" s="31"/>
      <c r="G340" s="31"/>
      <c r="H340" s="31"/>
      <c r="I340" s="4"/>
      <c r="J340" s="4"/>
      <c r="K340" s="4"/>
      <c r="L340" s="17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3">
      <c r="A341" s="4"/>
      <c r="B341" s="4"/>
      <c r="C341" s="4"/>
      <c r="D341" s="4" t="s">
        <v>713</v>
      </c>
      <c r="E341" s="31"/>
      <c r="F341" s="31"/>
      <c r="G341" s="31"/>
      <c r="H341" s="31"/>
      <c r="I341" s="4"/>
      <c r="J341" s="4"/>
      <c r="K341" s="4"/>
      <c r="L341" s="17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3">
      <c r="A342" s="4"/>
      <c r="B342" s="4"/>
      <c r="C342" s="4"/>
      <c r="D342" s="4"/>
      <c r="E342" s="31"/>
      <c r="F342" s="31"/>
      <c r="G342" s="31"/>
      <c r="H342" s="31"/>
      <c r="I342" s="4"/>
      <c r="J342" s="4"/>
      <c r="K342" s="4"/>
      <c r="L342" s="17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3">
      <c r="A343" s="4"/>
      <c r="B343" s="4"/>
      <c r="C343" s="4"/>
      <c r="D343" s="4" t="s">
        <v>719</v>
      </c>
      <c r="E343" s="31">
        <v>-446395</v>
      </c>
      <c r="F343" s="31"/>
      <c r="G343" s="31"/>
      <c r="H343" s="31"/>
      <c r="I343" s="4"/>
      <c r="J343" s="4"/>
      <c r="K343" s="4"/>
      <c r="L343" s="17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3">
      <c r="A344" s="4"/>
      <c r="B344" s="4"/>
      <c r="C344" s="4"/>
      <c r="D344" s="76" t="s">
        <v>732</v>
      </c>
      <c r="E344" s="40">
        <v>0</v>
      </c>
      <c r="F344" s="31"/>
      <c r="G344" s="31"/>
      <c r="H344" s="31"/>
      <c r="I344" s="4"/>
      <c r="J344" s="4"/>
      <c r="K344" s="4"/>
      <c r="L344" s="17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3">
      <c r="A345" s="4"/>
      <c r="B345" s="4"/>
      <c r="C345" s="4"/>
      <c r="D345" s="4" t="s">
        <v>720</v>
      </c>
      <c r="E345" s="31">
        <v>-1062000</v>
      </c>
      <c r="F345" s="31"/>
      <c r="G345" s="31"/>
      <c r="H345" s="31"/>
      <c r="I345" s="4"/>
      <c r="J345" s="4"/>
      <c r="K345" s="4"/>
      <c r="L345" s="17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3">
      <c r="A346" s="4"/>
      <c r="B346" s="4"/>
      <c r="C346" s="4"/>
      <c r="D346" s="4" t="s">
        <v>721</v>
      </c>
      <c r="E346" s="36">
        <v>4997</v>
      </c>
      <c r="F346" s="31"/>
      <c r="G346" s="31"/>
      <c r="H346" s="31"/>
      <c r="I346" s="4"/>
      <c r="J346" s="4"/>
      <c r="K346" s="4"/>
      <c r="L346" s="17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3">
      <c r="A347" s="4"/>
      <c r="B347" s="4"/>
      <c r="C347" s="4"/>
      <c r="D347" s="4"/>
      <c r="E347" s="31">
        <f>SUM(E343:E346)</f>
        <v>-1503398</v>
      </c>
      <c r="F347" s="31"/>
      <c r="G347" s="31"/>
      <c r="H347" s="31"/>
      <c r="I347" s="4"/>
      <c r="J347" s="4"/>
      <c r="K347" s="4"/>
      <c r="L347" s="17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3">
      <c r="A348" s="4"/>
      <c r="B348" s="4"/>
      <c r="C348" s="4"/>
      <c r="D348" s="4" t="s">
        <v>722</v>
      </c>
      <c r="E348" s="31"/>
      <c r="F348" s="31"/>
      <c r="G348" s="31"/>
      <c r="H348" s="31"/>
      <c r="I348" s="4"/>
      <c r="J348" s="4"/>
      <c r="K348" s="4"/>
      <c r="L348" s="17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3">
      <c r="A349" s="4"/>
      <c r="B349" s="4"/>
      <c r="C349" s="4"/>
      <c r="D349" s="4" t="s">
        <v>723</v>
      </c>
      <c r="E349" s="31"/>
      <c r="F349" s="31"/>
      <c r="G349" s="31"/>
      <c r="H349" s="31"/>
      <c r="I349" s="4"/>
      <c r="J349" s="4"/>
      <c r="K349" s="4"/>
      <c r="L349" s="17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3">
      <c r="A350" s="4"/>
      <c r="B350" s="4"/>
      <c r="C350" s="4"/>
      <c r="D350" s="4" t="s">
        <v>712</v>
      </c>
      <c r="E350" s="31">
        <v>-441000</v>
      </c>
      <c r="F350" s="31"/>
      <c r="G350" s="31"/>
      <c r="H350" s="31"/>
      <c r="I350" s="4"/>
      <c r="J350" s="4"/>
      <c r="K350" s="4"/>
      <c r="L350" s="17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3">
      <c r="A351" s="4"/>
      <c r="B351" s="4"/>
      <c r="C351" s="4"/>
      <c r="D351" s="4" t="s">
        <v>724</v>
      </c>
      <c r="E351" s="31">
        <v>1062000</v>
      </c>
      <c r="F351" s="31"/>
      <c r="G351" s="31"/>
      <c r="H351" s="31"/>
      <c r="I351" s="31">
        <v>450000</v>
      </c>
      <c r="J351" s="31">
        <v>450000</v>
      </c>
      <c r="K351" s="31"/>
      <c r="L351" s="17" t="s">
        <v>737</v>
      </c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3">
      <c r="A352" s="4"/>
      <c r="B352" s="4"/>
      <c r="C352" s="4"/>
      <c r="D352" s="4" t="s">
        <v>711</v>
      </c>
      <c r="E352" s="31"/>
      <c r="F352" s="31"/>
      <c r="G352" s="31"/>
      <c r="H352" s="31"/>
      <c r="I352" s="31">
        <v>185000</v>
      </c>
      <c r="J352" s="31">
        <v>185000</v>
      </c>
      <c r="K352" s="31"/>
      <c r="L352" s="17" t="s">
        <v>735</v>
      </c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3">
      <c r="A353" s="4"/>
      <c r="B353" s="4"/>
      <c r="C353" s="4"/>
      <c r="D353" s="4" t="s">
        <v>739</v>
      </c>
      <c r="E353" s="31">
        <v>300000</v>
      </c>
      <c r="F353" s="31"/>
      <c r="G353" s="31"/>
      <c r="H353" s="31"/>
      <c r="I353" s="31">
        <v>640000</v>
      </c>
      <c r="J353" s="36">
        <v>640000</v>
      </c>
      <c r="K353" s="31"/>
      <c r="L353" s="17" t="s">
        <v>736</v>
      </c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3">
      <c r="A354" s="4"/>
      <c r="B354" s="4"/>
      <c r="C354" s="4"/>
      <c r="D354" s="4" t="s">
        <v>738</v>
      </c>
      <c r="E354" s="31">
        <v>503130</v>
      </c>
      <c r="F354" s="31"/>
      <c r="G354" s="31"/>
      <c r="H354" s="31"/>
      <c r="I354" s="31">
        <f>SUM(I351:I353)</f>
        <v>1275000</v>
      </c>
      <c r="J354" s="31">
        <f>SUM(J351:J353)</f>
        <v>1275000</v>
      </c>
      <c r="K354" s="31"/>
      <c r="L354" s="17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3">
      <c r="A355" s="4"/>
      <c r="B355" s="4"/>
      <c r="C355" s="4"/>
      <c r="D355" s="4"/>
      <c r="E355" s="128">
        <f>SUM(E347:E354)</f>
        <v>-79268</v>
      </c>
      <c r="F355" s="31"/>
      <c r="G355" s="31"/>
      <c r="H355" s="31"/>
      <c r="I355" s="4"/>
      <c r="J355" s="4"/>
      <c r="K355" s="4"/>
      <c r="L355" s="17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3">
      <c r="A356" s="4"/>
      <c r="B356" s="4"/>
      <c r="C356" s="4"/>
      <c r="D356" s="4"/>
      <c r="E356" s="31"/>
      <c r="F356" s="31"/>
      <c r="G356" s="31"/>
      <c r="H356" s="31"/>
      <c r="I356" s="4"/>
      <c r="J356" s="4"/>
      <c r="K356" s="4"/>
      <c r="L356" s="17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3">
      <c r="A357" s="4"/>
      <c r="B357" s="4"/>
      <c r="C357" s="4"/>
      <c r="D357" s="4"/>
      <c r="E357" s="31"/>
      <c r="F357" s="31"/>
      <c r="G357" s="31"/>
      <c r="H357" s="31"/>
      <c r="I357" s="4"/>
      <c r="J357" s="4"/>
      <c r="K357" s="4"/>
      <c r="L357" s="17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3">
      <c r="A358" s="4"/>
      <c r="B358" s="4"/>
      <c r="C358" s="4"/>
      <c r="D358" s="4"/>
      <c r="E358" s="31"/>
      <c r="F358" s="31"/>
      <c r="G358" s="31"/>
      <c r="H358" s="31"/>
      <c r="I358" s="4"/>
      <c r="J358" s="4"/>
      <c r="K358" s="4"/>
      <c r="L358" s="17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3">
      <c r="A359" s="4"/>
      <c r="B359" s="4"/>
      <c r="C359" s="4"/>
      <c r="D359" s="4"/>
      <c r="E359" s="31"/>
      <c r="F359" s="31"/>
      <c r="G359" s="31"/>
      <c r="H359" s="31"/>
      <c r="I359" s="4"/>
      <c r="J359" s="4"/>
      <c r="K359" s="4"/>
      <c r="L359" s="17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4"/>
      <c r="C360" s="4"/>
      <c r="D360" s="4"/>
      <c r="E360" s="31"/>
      <c r="F360" s="31"/>
      <c r="G360" s="31"/>
      <c r="H360" s="31"/>
      <c r="I360" s="4"/>
      <c r="J360" s="4"/>
      <c r="K360" s="4"/>
      <c r="L360" s="17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4"/>
      <c r="C361" s="4"/>
      <c r="D361" s="4"/>
      <c r="E361" s="31"/>
      <c r="F361" s="31"/>
      <c r="G361" s="31"/>
      <c r="H361" s="31"/>
      <c r="I361" s="4"/>
      <c r="J361" s="4"/>
      <c r="K361" s="4"/>
      <c r="L361" s="17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3">
      <c r="A362" s="4"/>
      <c r="B362" s="4"/>
      <c r="C362" s="4"/>
      <c r="D362" s="4"/>
      <c r="E362" s="31"/>
      <c r="F362" s="31"/>
      <c r="G362" s="31"/>
      <c r="H362" s="31"/>
      <c r="I362" s="4"/>
      <c r="J362" s="4"/>
      <c r="K362" s="4"/>
      <c r="L362" s="17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3">
      <c r="A363" s="4"/>
      <c r="B363" s="4"/>
      <c r="C363" s="4"/>
      <c r="D363" s="4"/>
      <c r="E363" s="31"/>
      <c r="F363" s="31"/>
      <c r="G363" s="31"/>
      <c r="H363" s="31"/>
      <c r="I363" s="4"/>
      <c r="J363" s="4"/>
      <c r="K363" s="4"/>
      <c r="L363" s="17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3">
      <c r="A364" s="4"/>
      <c r="B364" s="4"/>
      <c r="C364" s="4"/>
      <c r="D364" s="4"/>
      <c r="E364" s="31"/>
      <c r="F364" s="31"/>
      <c r="G364" s="31"/>
      <c r="H364" s="31"/>
      <c r="I364" s="4"/>
      <c r="J364" s="4"/>
      <c r="K364" s="4"/>
      <c r="L364" s="17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3">
      <c r="A365" s="4"/>
      <c r="B365" s="4"/>
      <c r="C365" s="4"/>
      <c r="D365" s="4"/>
      <c r="E365" s="31"/>
      <c r="F365" s="31"/>
      <c r="G365" s="31"/>
      <c r="H365" s="31"/>
      <c r="I365" s="4"/>
      <c r="J365" s="4"/>
      <c r="K365" s="4"/>
      <c r="L365" s="17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3">
      <c r="A366" s="4"/>
      <c r="B366" s="4"/>
      <c r="C366" s="4"/>
      <c r="D366" s="4"/>
      <c r="E366" s="31"/>
      <c r="F366" s="31"/>
      <c r="G366" s="31"/>
      <c r="H366" s="31"/>
      <c r="I366" s="4"/>
      <c r="J366" s="4"/>
      <c r="K366" s="4"/>
      <c r="L366" s="17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3">
      <c r="A367" s="4"/>
      <c r="B367" s="4"/>
      <c r="C367" s="4"/>
      <c r="D367" s="4"/>
      <c r="E367" s="31"/>
      <c r="F367" s="31"/>
      <c r="G367" s="31"/>
      <c r="H367" s="31"/>
      <c r="I367" s="4"/>
      <c r="J367" s="4"/>
      <c r="K367" s="4"/>
      <c r="L367" s="17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3">
      <c r="A368" s="4"/>
      <c r="B368" s="4"/>
      <c r="C368" s="4"/>
      <c r="D368" s="4"/>
      <c r="E368" s="31"/>
      <c r="F368" s="31"/>
      <c r="G368" s="31"/>
      <c r="H368" s="31"/>
      <c r="I368" s="4"/>
      <c r="J368" s="4"/>
      <c r="K368" s="4"/>
      <c r="L368" s="17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3">
      <c r="A369" s="4"/>
      <c r="B369" s="4"/>
      <c r="C369" s="4"/>
      <c r="D369" s="4"/>
      <c r="E369" s="31"/>
      <c r="F369" s="31"/>
      <c r="G369" s="31"/>
      <c r="H369" s="31"/>
      <c r="I369" s="4"/>
      <c r="J369" s="4"/>
      <c r="K369" s="4"/>
      <c r="L369" s="17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3">
      <c r="A370" s="4"/>
      <c r="B370" s="4"/>
      <c r="C370" s="4"/>
      <c r="D370" s="4"/>
      <c r="E370" s="31"/>
      <c r="F370" s="31"/>
      <c r="G370" s="31"/>
      <c r="H370" s="31"/>
      <c r="I370" s="4"/>
      <c r="J370" s="4"/>
      <c r="K370" s="4"/>
      <c r="L370" s="17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3">
      <c r="A371" s="4"/>
      <c r="B371" s="4"/>
      <c r="C371" s="4"/>
      <c r="D371" s="4"/>
      <c r="E371" s="31"/>
      <c r="F371" s="31"/>
      <c r="G371" s="31"/>
      <c r="H371" s="31"/>
      <c r="I371" s="4"/>
      <c r="J371" s="4"/>
      <c r="K371" s="4"/>
      <c r="L371" s="17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3">
      <c r="A372" s="4"/>
      <c r="B372" s="4"/>
      <c r="C372" s="4"/>
      <c r="D372" s="4"/>
      <c r="E372" s="31"/>
      <c r="F372" s="31"/>
      <c r="G372" s="31"/>
      <c r="H372" s="31"/>
      <c r="I372" s="4"/>
      <c r="J372" s="4"/>
      <c r="K372" s="4"/>
      <c r="L372" s="17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3">
      <c r="A373" s="4"/>
      <c r="B373" s="4"/>
      <c r="C373" s="4"/>
      <c r="D373" s="4"/>
      <c r="E373" s="31"/>
      <c r="F373" s="31"/>
      <c r="G373" s="31"/>
      <c r="H373" s="31"/>
      <c r="I373" s="4"/>
      <c r="J373" s="4"/>
      <c r="K373" s="4"/>
      <c r="L373" s="17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3">
      <c r="A374" s="4"/>
      <c r="B374" s="4"/>
      <c r="C374" s="4"/>
      <c r="D374" s="4"/>
      <c r="E374" s="31"/>
      <c r="F374" s="31"/>
      <c r="G374" s="31"/>
      <c r="H374" s="31"/>
      <c r="I374" s="4"/>
      <c r="J374" s="4"/>
      <c r="K374" s="4"/>
      <c r="L374" s="17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3">
      <c r="A375" s="4"/>
      <c r="B375" s="4"/>
      <c r="C375" s="4"/>
      <c r="D375" s="4"/>
      <c r="E375" s="31"/>
      <c r="F375" s="31"/>
      <c r="G375" s="31"/>
      <c r="H375" s="31"/>
      <c r="I375" s="4"/>
      <c r="J375" s="4"/>
      <c r="K375" s="4"/>
      <c r="L375" s="17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3">
      <c r="A376" s="4"/>
      <c r="B376" s="4"/>
      <c r="C376" s="4"/>
      <c r="D376" s="4"/>
      <c r="E376" s="31"/>
      <c r="F376" s="31"/>
      <c r="G376" s="31"/>
      <c r="H376" s="31"/>
      <c r="I376" s="4"/>
      <c r="J376" s="4"/>
      <c r="K376" s="4"/>
      <c r="L376" s="17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3">
      <c r="A377" s="4"/>
      <c r="B377" s="4"/>
      <c r="C377" s="4"/>
      <c r="D377" s="4"/>
      <c r="E377" s="31"/>
      <c r="F377" s="31"/>
      <c r="G377" s="31"/>
      <c r="H377" s="31"/>
      <c r="I377" s="4"/>
      <c r="J377" s="4"/>
      <c r="K377" s="4"/>
      <c r="L377" s="17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3">
      <c r="A378" s="4"/>
      <c r="B378" s="4"/>
      <c r="C378" s="4"/>
      <c r="D378" s="4"/>
      <c r="E378" s="31"/>
      <c r="F378" s="31"/>
      <c r="G378" s="31"/>
      <c r="H378" s="31"/>
      <c r="I378" s="4"/>
      <c r="J378" s="4"/>
      <c r="K378" s="4"/>
      <c r="L378" s="17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3">
      <c r="A379" s="4"/>
      <c r="B379" s="4"/>
      <c r="C379" s="4"/>
      <c r="D379" s="4"/>
      <c r="E379" s="31"/>
      <c r="F379" s="31"/>
      <c r="G379" s="31"/>
      <c r="H379" s="31"/>
      <c r="I379" s="4"/>
      <c r="J379" s="4"/>
      <c r="K379" s="4"/>
      <c r="L379" s="17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3">
      <c r="A380" s="4"/>
      <c r="B380" s="4"/>
      <c r="C380" s="4"/>
      <c r="D380" s="4"/>
      <c r="E380" s="31"/>
      <c r="F380" s="31"/>
      <c r="G380" s="31"/>
      <c r="H380" s="31"/>
      <c r="I380" s="4"/>
      <c r="J380" s="4"/>
      <c r="K380" s="4"/>
      <c r="L380" s="17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3">
      <c r="A381" s="4"/>
      <c r="B381" s="4"/>
      <c r="C381" s="4"/>
      <c r="D381" s="4"/>
      <c r="E381" s="31"/>
      <c r="F381" s="31"/>
      <c r="G381" s="31"/>
      <c r="H381" s="31"/>
      <c r="I381" s="4"/>
      <c r="J381" s="4"/>
      <c r="K381" s="4"/>
      <c r="L381" s="17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3">
      <c r="A382" s="4"/>
      <c r="B382" s="4"/>
      <c r="C382" s="4"/>
      <c r="D382" s="4"/>
      <c r="E382" s="31"/>
      <c r="F382" s="31"/>
      <c r="G382" s="31"/>
      <c r="H382" s="31"/>
      <c r="I382" s="4"/>
      <c r="J382" s="4"/>
      <c r="K382" s="4"/>
      <c r="L382" s="17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3">
      <c r="A383" s="4"/>
      <c r="B383" s="4"/>
      <c r="C383" s="4"/>
      <c r="D383" s="4"/>
      <c r="E383" s="31"/>
      <c r="F383" s="31"/>
      <c r="G383" s="31"/>
      <c r="H383" s="31"/>
      <c r="I383" s="4"/>
      <c r="J383" s="4"/>
      <c r="K383" s="4"/>
      <c r="L383" s="17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3">
      <c r="A384" s="4"/>
      <c r="B384" s="4"/>
      <c r="C384" s="4"/>
      <c r="D384" s="4"/>
      <c r="E384" s="31"/>
      <c r="F384" s="31"/>
      <c r="G384" s="31"/>
      <c r="H384" s="31"/>
      <c r="I384" s="4"/>
      <c r="J384" s="4"/>
      <c r="K384" s="4"/>
      <c r="L384" s="17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3">
      <c r="A385" s="4"/>
      <c r="B385" s="4"/>
      <c r="C385" s="4"/>
      <c r="D385" s="4"/>
      <c r="E385" s="31"/>
      <c r="F385" s="31"/>
      <c r="G385" s="31"/>
      <c r="H385" s="31"/>
      <c r="I385" s="4"/>
      <c r="J385" s="4"/>
      <c r="K385" s="4"/>
      <c r="L385" s="17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3">
      <c r="A386" s="4"/>
      <c r="B386" s="4"/>
      <c r="C386" s="4"/>
      <c r="D386" s="4"/>
      <c r="E386" s="31"/>
      <c r="F386" s="31"/>
      <c r="G386" s="31"/>
      <c r="H386" s="31"/>
      <c r="I386" s="4"/>
      <c r="J386" s="4"/>
      <c r="K386" s="4"/>
      <c r="L386" s="17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3">
      <c r="A387" s="4"/>
      <c r="B387" s="4"/>
      <c r="C387" s="4"/>
      <c r="D387" s="4"/>
      <c r="E387" s="31"/>
      <c r="F387" s="31"/>
      <c r="G387" s="31"/>
      <c r="H387" s="31"/>
      <c r="I387" s="4"/>
      <c r="J387" s="4"/>
      <c r="K387" s="4"/>
      <c r="L387" s="17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3">
      <c r="A388" s="4"/>
      <c r="B388" s="4"/>
      <c r="C388" s="4"/>
      <c r="D388" s="4"/>
      <c r="E388" s="31"/>
      <c r="F388" s="31"/>
      <c r="G388" s="31"/>
      <c r="H388" s="31"/>
      <c r="I388" s="4"/>
      <c r="J388" s="4"/>
      <c r="K388" s="4"/>
      <c r="L388" s="17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3">
      <c r="A389" s="4"/>
      <c r="B389" s="4"/>
      <c r="C389" s="4"/>
      <c r="D389" s="4"/>
      <c r="E389" s="31"/>
      <c r="F389" s="31"/>
      <c r="G389" s="31"/>
      <c r="H389" s="31"/>
      <c r="I389" s="4"/>
      <c r="J389" s="4"/>
      <c r="K389" s="4"/>
      <c r="L389" s="17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3">
      <c r="A390" s="4"/>
      <c r="B390" s="4"/>
      <c r="C390" s="4"/>
      <c r="D390" s="4"/>
      <c r="E390" s="31"/>
      <c r="F390" s="31"/>
      <c r="G390" s="31"/>
      <c r="H390" s="31"/>
      <c r="I390" s="4"/>
      <c r="J390" s="4"/>
      <c r="K390" s="4"/>
      <c r="L390" s="17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3">
      <c r="A391" s="4"/>
      <c r="B391" s="4"/>
      <c r="C391" s="4"/>
      <c r="D391" s="4"/>
      <c r="E391" s="31"/>
      <c r="F391" s="31"/>
      <c r="G391" s="31"/>
      <c r="H391" s="31"/>
      <c r="I391" s="4"/>
      <c r="J391" s="4"/>
      <c r="K391" s="4"/>
      <c r="L391" s="17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3">
      <c r="A392" s="4"/>
      <c r="B392" s="4"/>
      <c r="C392" s="4"/>
      <c r="D392" s="4"/>
      <c r="E392" s="31"/>
      <c r="F392" s="31"/>
      <c r="G392" s="31"/>
      <c r="H392" s="31"/>
      <c r="I392" s="4"/>
      <c r="J392" s="4"/>
      <c r="K392" s="4"/>
      <c r="L392" s="17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3">
      <c r="A393" s="4"/>
      <c r="B393" s="4"/>
      <c r="C393" s="4"/>
      <c r="D393" s="4"/>
      <c r="E393" s="31"/>
      <c r="F393" s="31"/>
      <c r="G393" s="31"/>
      <c r="H393" s="31"/>
      <c r="I393" s="4"/>
      <c r="J393" s="4"/>
      <c r="K393" s="4"/>
      <c r="L393" s="17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3">
      <c r="A394" s="4"/>
      <c r="B394" s="4"/>
      <c r="C394" s="4"/>
      <c r="D394" s="4"/>
      <c r="E394" s="31"/>
      <c r="F394" s="31"/>
      <c r="G394" s="31"/>
      <c r="H394" s="31"/>
      <c r="I394" s="4"/>
      <c r="J394" s="4"/>
      <c r="K394" s="4"/>
      <c r="L394" s="17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3">
      <c r="A395" s="4"/>
      <c r="B395" s="4"/>
      <c r="C395" s="4"/>
      <c r="D395" s="4"/>
      <c r="E395" s="31"/>
      <c r="F395" s="31"/>
      <c r="G395" s="31"/>
      <c r="H395" s="31"/>
      <c r="I395" s="4"/>
      <c r="J395" s="4"/>
      <c r="K395" s="4"/>
      <c r="L395" s="17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3">
      <c r="A396" s="4"/>
      <c r="B396" s="4"/>
      <c r="C396" s="4"/>
      <c r="D396" s="4"/>
      <c r="E396" s="31"/>
      <c r="F396" s="31"/>
      <c r="G396" s="31"/>
      <c r="H396" s="31"/>
      <c r="I396" s="4"/>
      <c r="J396" s="4"/>
      <c r="K396" s="4"/>
      <c r="L396" s="17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3">
      <c r="A397" s="4"/>
      <c r="B397" s="4"/>
      <c r="C397" s="4"/>
      <c r="D397" s="4"/>
      <c r="E397" s="31"/>
      <c r="F397" s="31"/>
      <c r="G397" s="31"/>
      <c r="H397" s="31"/>
      <c r="I397" s="4"/>
      <c r="J397" s="4"/>
      <c r="K397" s="4"/>
      <c r="L397" s="17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3">
      <c r="A398" s="4"/>
      <c r="B398" s="4"/>
      <c r="C398" s="4"/>
      <c r="D398" s="4"/>
      <c r="E398" s="31"/>
      <c r="F398" s="31"/>
      <c r="G398" s="31"/>
      <c r="H398" s="31"/>
      <c r="I398" s="4"/>
      <c r="J398" s="4"/>
      <c r="K398" s="4"/>
      <c r="L398" s="17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3">
      <c r="A399" s="4"/>
      <c r="B399" s="4"/>
      <c r="C399" s="4"/>
      <c r="D399" s="4"/>
      <c r="E399" s="31"/>
      <c r="F399" s="31"/>
      <c r="G399" s="31"/>
      <c r="H399" s="31"/>
      <c r="I399" s="4"/>
      <c r="J399" s="4"/>
      <c r="K399" s="4"/>
      <c r="L399" s="17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3">
      <c r="A400" s="4"/>
      <c r="B400" s="4"/>
      <c r="C400" s="4"/>
      <c r="D400" s="4"/>
      <c r="E400" s="31"/>
      <c r="F400" s="31"/>
      <c r="G400" s="31"/>
      <c r="H400" s="31"/>
      <c r="I400" s="4"/>
      <c r="J400" s="4"/>
      <c r="K400" s="4"/>
      <c r="L400" s="17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3">
      <c r="A401" s="4"/>
      <c r="B401" s="4"/>
      <c r="C401" s="4"/>
      <c r="D401" s="4"/>
      <c r="E401" s="31"/>
      <c r="F401" s="31"/>
      <c r="G401" s="31"/>
      <c r="H401" s="31"/>
      <c r="I401" s="4"/>
      <c r="J401" s="4"/>
      <c r="K401" s="4"/>
      <c r="L401" s="17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3">
      <c r="A402" s="4"/>
      <c r="B402" s="4"/>
      <c r="C402" s="4"/>
      <c r="D402" s="4"/>
      <c r="E402" s="31"/>
      <c r="F402" s="31"/>
      <c r="G402" s="31"/>
      <c r="H402" s="31"/>
      <c r="I402" s="4"/>
      <c r="J402" s="4"/>
      <c r="K402" s="4"/>
      <c r="L402" s="17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3">
      <c r="A403" s="4"/>
      <c r="B403" s="4"/>
      <c r="C403" s="4"/>
      <c r="D403" s="4"/>
      <c r="E403" s="31"/>
      <c r="F403" s="31"/>
      <c r="G403" s="31"/>
      <c r="H403" s="31"/>
      <c r="I403" s="4"/>
      <c r="J403" s="4"/>
      <c r="K403" s="4"/>
      <c r="L403" s="17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3">
      <c r="A404" s="4"/>
      <c r="B404" s="4"/>
      <c r="C404" s="4"/>
      <c r="D404" s="4"/>
      <c r="E404" s="31"/>
      <c r="F404" s="31"/>
      <c r="G404" s="31"/>
      <c r="H404" s="31"/>
      <c r="I404" s="4"/>
      <c r="J404" s="4"/>
      <c r="K404" s="4"/>
      <c r="L404" s="17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3">
      <c r="A405" s="4"/>
      <c r="B405" s="4"/>
      <c r="C405" s="4"/>
      <c r="D405" s="4"/>
      <c r="E405" s="31"/>
      <c r="F405" s="31"/>
      <c r="G405" s="31"/>
      <c r="H405" s="31"/>
      <c r="I405" s="4"/>
      <c r="J405" s="4"/>
      <c r="K405" s="4"/>
      <c r="L405" s="17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3">
      <c r="A406" s="4"/>
      <c r="B406" s="4"/>
      <c r="C406" s="4"/>
      <c r="D406" s="4"/>
      <c r="E406" s="31"/>
      <c r="F406" s="31"/>
      <c r="G406" s="31"/>
      <c r="H406" s="31"/>
      <c r="I406" s="4"/>
      <c r="J406" s="4"/>
      <c r="K406" s="4"/>
      <c r="L406" s="17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3">
      <c r="A407" s="4"/>
      <c r="B407" s="4"/>
      <c r="C407" s="4"/>
      <c r="D407" s="4"/>
      <c r="E407" s="31"/>
      <c r="F407" s="31"/>
      <c r="G407" s="31"/>
      <c r="H407" s="31"/>
      <c r="I407" s="4"/>
      <c r="J407" s="4"/>
      <c r="K407" s="4"/>
      <c r="L407" s="17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3">
      <c r="A408" s="4"/>
      <c r="B408" s="4"/>
      <c r="C408" s="4"/>
      <c r="D408" s="4"/>
      <c r="E408" s="31"/>
      <c r="F408" s="31"/>
      <c r="G408" s="31"/>
      <c r="H408" s="31"/>
      <c r="I408" s="4"/>
      <c r="J408" s="4"/>
      <c r="K408" s="4"/>
      <c r="L408" s="17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3">
      <c r="A409" s="4"/>
      <c r="B409" s="4"/>
      <c r="C409" s="4"/>
      <c r="D409" s="4"/>
      <c r="E409" s="31"/>
      <c r="F409" s="31"/>
      <c r="G409" s="31"/>
      <c r="H409" s="31"/>
      <c r="I409" s="4"/>
      <c r="J409" s="4"/>
      <c r="K409" s="4"/>
      <c r="L409" s="17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3">
      <c r="A410" s="4"/>
      <c r="B410" s="4"/>
      <c r="C410" s="4"/>
      <c r="D410" s="4"/>
      <c r="E410" s="31"/>
      <c r="F410" s="31"/>
      <c r="G410" s="31"/>
      <c r="H410" s="31"/>
      <c r="I410" s="4"/>
      <c r="J410" s="4"/>
      <c r="K410" s="4"/>
      <c r="L410" s="17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3">
      <c r="A411" s="4"/>
      <c r="B411" s="4"/>
      <c r="C411" s="4"/>
      <c r="D411" s="4"/>
      <c r="E411" s="31"/>
      <c r="F411" s="31"/>
      <c r="G411" s="31"/>
      <c r="H411" s="31"/>
      <c r="I411" s="4"/>
      <c r="J411" s="4"/>
      <c r="K411" s="4"/>
      <c r="L411" s="17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3">
      <c r="A412" s="4"/>
      <c r="B412" s="4"/>
      <c r="C412" s="4"/>
      <c r="D412" s="4"/>
      <c r="E412" s="31"/>
      <c r="F412" s="31"/>
      <c r="G412" s="31"/>
      <c r="H412" s="31"/>
      <c r="I412" s="4"/>
      <c r="J412" s="4"/>
      <c r="K412" s="4"/>
      <c r="L412" s="17"/>
      <c r="M412" s="4"/>
      <c r="N412" s="4"/>
      <c r="O412" s="4"/>
      <c r="P412" s="4"/>
      <c r="Q412" s="4"/>
      <c r="R412" s="4"/>
      <c r="S412" s="4"/>
      <c r="T412" s="4"/>
      <c r="U412" s="4"/>
    </row>
  </sheetData>
  <mergeCells count="4">
    <mergeCell ref="A1:J1"/>
    <mergeCell ref="A2:J2"/>
    <mergeCell ref="A4:J4"/>
    <mergeCell ref="A3:J3"/>
  </mergeCells>
  <pageMargins left="0.25" right="0" top="0.25" bottom="0.25" header="0.3" footer="0.3"/>
  <pageSetup scale="93" fitToHeight="0" orientation="landscape" r:id="rId1"/>
  <rowBreaks count="9" manualBreakCount="9">
    <brk id="80" max="13" man="1"/>
    <brk id="106" max="16383" man="1"/>
    <brk id="142" max="16383" man="1"/>
    <brk id="177" max="13" man="1"/>
    <brk id="249" max="13" man="1"/>
    <brk id="322" max="13" man="1"/>
    <brk id="340" max="13" man="1"/>
    <brk id="371" max="13" man="1"/>
    <brk id="400" max="1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opLeftCell="A12" workbookViewId="0">
      <selection activeCell="O23" sqref="O23"/>
    </sheetView>
  </sheetViews>
  <sheetFormatPr defaultRowHeight="14.4" x14ac:dyDescent="0.3"/>
  <cols>
    <col min="4" max="4" width="12.6640625" bestFit="1" customWidth="1"/>
    <col min="5" max="5" width="19.33203125" customWidth="1"/>
    <col min="6" max="6" width="9.33203125" bestFit="1" customWidth="1"/>
    <col min="7" max="7" width="14.44140625" bestFit="1" customWidth="1"/>
    <col min="8" max="8" width="18.33203125" customWidth="1"/>
    <col min="9" max="9" width="15.5546875" bestFit="1" customWidth="1"/>
    <col min="10" max="10" width="2.33203125" customWidth="1"/>
    <col min="12" max="12" width="8.5546875" bestFit="1" customWidth="1"/>
    <col min="13" max="13" width="10.88671875" bestFit="1" customWidth="1"/>
    <col min="15" max="15" width="11" bestFit="1" customWidth="1"/>
  </cols>
  <sheetData>
    <row r="1" spans="1:14" ht="15.75" customHeight="1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15.75" customHeight="1" x14ac:dyDescent="0.3">
      <c r="A2" s="172" t="s">
        <v>668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7.399999999999999" x14ac:dyDescent="0.3">
      <c r="A3" s="129"/>
      <c r="B3" s="129"/>
      <c r="C3" s="129"/>
      <c r="D3" s="129"/>
      <c r="E3" s="129"/>
      <c r="F3" s="129"/>
      <c r="G3" s="129"/>
      <c r="H3" s="129"/>
      <c r="I3" s="129"/>
      <c r="J3" s="4"/>
      <c r="K3" s="4"/>
      <c r="L3" s="4"/>
      <c r="M3" s="4"/>
      <c r="N3" s="4"/>
    </row>
    <row r="4" spans="1:14" ht="15" thickBot="1" x14ac:dyDescent="0.35">
      <c r="A4" s="4"/>
      <c r="B4" s="4"/>
      <c r="C4" s="4"/>
      <c r="D4" s="4"/>
      <c r="E4" s="4"/>
      <c r="F4" s="4"/>
      <c r="G4" s="4"/>
      <c r="H4" s="4"/>
      <c r="I4" s="4"/>
      <c r="J4" s="35"/>
      <c r="K4" s="4"/>
      <c r="L4" s="35"/>
      <c r="M4" s="4"/>
      <c r="N4" s="35"/>
    </row>
    <row r="5" spans="1:14" x14ac:dyDescent="0.3">
      <c r="A5" s="130" t="s">
        <v>603</v>
      </c>
      <c r="B5" s="11" t="s">
        <v>11</v>
      </c>
      <c r="C5" s="11" t="s">
        <v>657</v>
      </c>
      <c r="D5" s="11" t="s">
        <v>750</v>
      </c>
      <c r="E5" s="11" t="s">
        <v>749</v>
      </c>
      <c r="F5" s="11" t="s">
        <v>84</v>
      </c>
      <c r="G5" s="11" t="s">
        <v>605</v>
      </c>
      <c r="H5" s="11"/>
      <c r="I5" s="8" t="s">
        <v>646</v>
      </c>
      <c r="J5" s="7"/>
      <c r="K5" s="130" t="s">
        <v>659</v>
      </c>
      <c r="L5" s="11" t="s">
        <v>660</v>
      </c>
      <c r="M5" s="11" t="s">
        <v>79</v>
      </c>
      <c r="N5" s="8" t="s">
        <v>84</v>
      </c>
    </row>
    <row r="6" spans="1:14" x14ac:dyDescent="0.3">
      <c r="A6" s="131" t="s">
        <v>87</v>
      </c>
      <c r="B6" s="5" t="s">
        <v>87</v>
      </c>
      <c r="C6" s="5" t="s">
        <v>607</v>
      </c>
      <c r="D6" s="5" t="s">
        <v>607</v>
      </c>
      <c r="E6" s="5" t="s">
        <v>608</v>
      </c>
      <c r="F6" s="5" t="s">
        <v>607</v>
      </c>
      <c r="G6" s="5" t="s">
        <v>609</v>
      </c>
      <c r="H6" s="5"/>
      <c r="I6" s="10" t="s">
        <v>607</v>
      </c>
      <c r="J6" s="7"/>
      <c r="K6" s="131"/>
      <c r="L6" s="5"/>
      <c r="M6" s="5" t="s">
        <v>661</v>
      </c>
      <c r="N6" s="10" t="s">
        <v>662</v>
      </c>
    </row>
    <row r="7" spans="1:14" x14ac:dyDescent="0.3">
      <c r="A7" s="132">
        <v>2016</v>
      </c>
      <c r="B7" s="133">
        <v>2017</v>
      </c>
      <c r="C7" s="68">
        <v>0.63375999999999999</v>
      </c>
      <c r="D7" s="68">
        <v>0.60938400000000004</v>
      </c>
      <c r="E7" s="134">
        <v>0.56185700000000005</v>
      </c>
      <c r="F7" s="68">
        <v>1.5181999999999999E-2</v>
      </c>
      <c r="G7" s="68">
        <v>0.65659400000000001</v>
      </c>
      <c r="H7" s="6" t="s">
        <v>667</v>
      </c>
      <c r="I7" s="135">
        <v>0.96499999999999997</v>
      </c>
      <c r="J7" s="7"/>
      <c r="K7" s="136">
        <v>0.51525200000000004</v>
      </c>
      <c r="L7" s="13">
        <v>7.0000000000000007E-2</v>
      </c>
      <c r="M7" s="12">
        <v>3.3326000000000001E-2</v>
      </c>
      <c r="N7" s="137">
        <v>1.5181999999999999E-2</v>
      </c>
    </row>
    <row r="8" spans="1:14" x14ac:dyDescent="0.3">
      <c r="A8" s="138">
        <v>2017</v>
      </c>
      <c r="B8" s="73">
        <v>2018</v>
      </c>
      <c r="C8" s="68">
        <v>0.61733000000000005</v>
      </c>
      <c r="D8" s="68">
        <v>0.58793300000000004</v>
      </c>
      <c r="E8" s="68">
        <v>0.54289399999999999</v>
      </c>
      <c r="F8" s="68">
        <v>1.3916E-2</v>
      </c>
      <c r="G8" s="68">
        <v>0.63367099999999998</v>
      </c>
      <c r="H8" s="6" t="s">
        <v>610</v>
      </c>
      <c r="I8" s="135">
        <v>0.97799999999999998</v>
      </c>
      <c r="J8" s="68"/>
      <c r="K8" s="136">
        <v>0.50091200000000002</v>
      </c>
      <c r="L8" s="12">
        <v>7.0000000000000007E-2</v>
      </c>
      <c r="M8" s="12">
        <v>3.2502000000000003E-2</v>
      </c>
      <c r="N8" s="137">
        <v>1.3916E-2</v>
      </c>
    </row>
    <row r="9" spans="1:14" x14ac:dyDescent="0.3">
      <c r="A9" s="138">
        <v>2018</v>
      </c>
      <c r="B9" s="73">
        <v>2019</v>
      </c>
      <c r="C9" s="68">
        <v>0.68685600000000002</v>
      </c>
      <c r="D9" s="68">
        <v>0.58385799999999999</v>
      </c>
      <c r="E9" s="68">
        <v>0.57069400000000003</v>
      </c>
      <c r="F9" s="68">
        <v>7.6213000000000003E-2</v>
      </c>
      <c r="G9" s="68">
        <v>0.69256200000000001</v>
      </c>
      <c r="H9" s="6" t="s">
        <v>611</v>
      </c>
      <c r="I9" s="135">
        <v>0.97150000000000003</v>
      </c>
      <c r="J9" s="68"/>
      <c r="K9" s="136">
        <v>0.50776500000000002</v>
      </c>
      <c r="L9" s="12">
        <v>7.0000000000000007E-2</v>
      </c>
      <c r="M9" s="12">
        <v>3.2877999999999998E-2</v>
      </c>
      <c r="N9" s="137">
        <v>7.6213000000000003E-2</v>
      </c>
    </row>
    <row r="10" spans="1:14" x14ac:dyDescent="0.3">
      <c r="A10" s="138">
        <v>2019</v>
      </c>
      <c r="B10" s="73">
        <v>2020</v>
      </c>
      <c r="C10" s="68">
        <v>0.66222499999999995</v>
      </c>
      <c r="D10" s="68">
        <v>0.62072000000000005</v>
      </c>
      <c r="E10" s="68">
        <v>0.55222000000000004</v>
      </c>
      <c r="F10" s="68">
        <v>6.5828999999999999E-2</v>
      </c>
      <c r="G10" s="68">
        <v>0.66222499999999995</v>
      </c>
      <c r="H10" s="6" t="s">
        <v>612</v>
      </c>
      <c r="I10" s="135">
        <v>0.97440000000000004</v>
      </c>
      <c r="J10" s="68"/>
      <c r="K10" s="136">
        <v>0.49429800000000002</v>
      </c>
      <c r="L10" s="12">
        <v>7.0000000000000007E-2</v>
      </c>
      <c r="M10" s="12">
        <v>3.2098000000000002E-2</v>
      </c>
      <c r="N10" s="137">
        <v>6.5828999999999999E-2</v>
      </c>
    </row>
    <row r="11" spans="1:14" x14ac:dyDescent="0.3">
      <c r="A11" s="138">
        <v>2020</v>
      </c>
      <c r="B11" s="73">
        <v>2021</v>
      </c>
      <c r="C11" s="68">
        <v>0.61666200000000004</v>
      </c>
      <c r="D11" s="68">
        <v>0.59994700000000001</v>
      </c>
      <c r="E11" s="68">
        <v>0.54912000000000005</v>
      </c>
      <c r="F11" s="68">
        <v>6.7542000000000005E-2</v>
      </c>
      <c r="G11" s="68">
        <v>0.63588</v>
      </c>
      <c r="H11" s="6" t="s">
        <v>613</v>
      </c>
      <c r="I11" s="135">
        <v>0.98</v>
      </c>
      <c r="J11" s="68"/>
      <c r="K11" s="136">
        <v>0.44960299999999997</v>
      </c>
      <c r="L11" s="12">
        <v>7.0000000000000007E-2</v>
      </c>
      <c r="M11" s="12">
        <v>2.9517000000000002E-2</v>
      </c>
      <c r="N11" s="137">
        <v>6.7542000000000005E-2</v>
      </c>
    </row>
    <row r="12" spans="1:14" x14ac:dyDescent="0.3">
      <c r="A12" s="138">
        <v>2021</v>
      </c>
      <c r="B12" s="73">
        <v>2022</v>
      </c>
      <c r="C12" s="4">
        <v>0.60463199999999995</v>
      </c>
      <c r="D12" s="68">
        <v>0.60463199999999995</v>
      </c>
      <c r="E12" s="134">
        <v>0.54735100000000003</v>
      </c>
      <c r="F12" s="12">
        <v>5.6093999999999998E-2</v>
      </c>
      <c r="G12" s="68">
        <v>0.640787</v>
      </c>
      <c r="H12" s="6" t="s">
        <v>613</v>
      </c>
      <c r="I12" s="135">
        <v>0.97409999999999997</v>
      </c>
      <c r="J12" s="134"/>
      <c r="K12" s="136">
        <v>0.44959700000000002</v>
      </c>
      <c r="L12" s="12">
        <v>7.0000000000000007E-2</v>
      </c>
      <c r="M12" s="12">
        <v>2.8941000000000001E-2</v>
      </c>
      <c r="N12" s="137">
        <v>5.6093999999999998E-2</v>
      </c>
    </row>
    <row r="13" spans="1:14" x14ac:dyDescent="0.3">
      <c r="A13" s="165">
        <v>2022</v>
      </c>
      <c r="B13" s="166">
        <v>2023</v>
      </c>
      <c r="C13" s="76">
        <v>0.54844499999999996</v>
      </c>
      <c r="D13" s="77">
        <v>0.53186100000000003</v>
      </c>
      <c r="E13" s="167">
        <f>0.448885+0.024978</f>
        <v>0.47386299999999998</v>
      </c>
      <c r="F13" s="74">
        <v>5.7998000000000001E-2</v>
      </c>
      <c r="G13" s="77">
        <v>0.54844499999999996</v>
      </c>
      <c r="H13" s="168" t="s">
        <v>710</v>
      </c>
      <c r="I13" s="135"/>
      <c r="J13" s="134"/>
      <c r="K13" s="169">
        <v>0.39459499999999997</v>
      </c>
      <c r="L13" s="74">
        <v>7.0000000000000007E-2</v>
      </c>
      <c r="M13" s="74">
        <v>2.5852E-2</v>
      </c>
      <c r="N13" s="170">
        <v>5.7998000000000001E-2</v>
      </c>
    </row>
    <row r="14" spans="1:14" ht="15" thickBot="1" x14ac:dyDescent="0.35">
      <c r="A14" s="59"/>
      <c r="B14" s="60"/>
      <c r="C14" s="14"/>
      <c r="D14" s="82"/>
      <c r="E14" s="139"/>
      <c r="F14" s="14"/>
      <c r="G14" s="82"/>
      <c r="H14" s="140"/>
      <c r="I14" s="63"/>
      <c r="J14" s="4"/>
      <c r="K14" s="59"/>
      <c r="L14" s="14"/>
      <c r="M14" s="14"/>
      <c r="N14" s="63"/>
    </row>
    <row r="15" spans="1:14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4" t="s">
        <v>770</v>
      </c>
      <c r="B16" s="4"/>
      <c r="C16" s="4"/>
      <c r="D16" s="4"/>
      <c r="E16" s="4"/>
      <c r="F16" s="7"/>
      <c r="G16" s="7"/>
      <c r="H16" s="7"/>
      <c r="I16" s="4"/>
      <c r="J16" s="7"/>
      <c r="K16" s="7"/>
      <c r="L16" s="7"/>
      <c r="M16" s="4"/>
      <c r="N16" s="4"/>
    </row>
    <row r="17" spans="1:15" x14ac:dyDescent="0.3">
      <c r="A17" s="4"/>
      <c r="B17" s="4"/>
      <c r="C17" s="4"/>
      <c r="D17" s="4"/>
      <c r="E17" s="4"/>
      <c r="F17" s="7"/>
      <c r="G17" s="4"/>
      <c r="H17" s="7"/>
      <c r="I17" s="4"/>
      <c r="J17" s="7"/>
      <c r="K17" s="4"/>
      <c r="L17" s="7"/>
      <c r="M17" s="4"/>
      <c r="N17" s="4"/>
      <c r="O17" s="15"/>
    </row>
    <row r="18" spans="1:15" x14ac:dyDescent="0.3">
      <c r="A18" s="4"/>
      <c r="B18" s="4"/>
      <c r="C18" s="4"/>
      <c r="D18" s="4"/>
      <c r="E18" s="4"/>
      <c r="F18" s="4"/>
      <c r="G18" s="4"/>
      <c r="H18" s="4"/>
      <c r="I18" s="141"/>
      <c r="J18" s="4"/>
      <c r="K18" s="4"/>
      <c r="L18" s="4"/>
      <c r="M18" s="4"/>
      <c r="N18" s="4"/>
      <c r="O18" s="15"/>
    </row>
    <row r="19" spans="1:15" x14ac:dyDescent="0.3">
      <c r="A19" s="4" t="s">
        <v>652</v>
      </c>
      <c r="B19" s="4"/>
      <c r="C19" s="4"/>
      <c r="D19" s="4"/>
      <c r="E19" s="4"/>
      <c r="F19" s="4"/>
      <c r="G19" s="4"/>
      <c r="H19" s="4"/>
      <c r="I19" s="141"/>
      <c r="J19" s="4"/>
      <c r="K19" s="4"/>
      <c r="L19" s="4"/>
      <c r="M19" s="4"/>
      <c r="N19" s="33"/>
      <c r="O19" s="15"/>
    </row>
    <row r="20" spans="1:15" x14ac:dyDescent="0.3">
      <c r="A20" s="4"/>
      <c r="B20" s="4"/>
      <c r="C20" s="4"/>
      <c r="D20" s="4"/>
      <c r="E20" s="4"/>
      <c r="F20" s="4"/>
      <c r="G20" s="142"/>
      <c r="H20" s="142"/>
      <c r="I20" s="141"/>
      <c r="J20" s="4"/>
      <c r="K20" s="4" t="s">
        <v>680</v>
      </c>
      <c r="L20" s="4"/>
      <c r="M20" s="4"/>
      <c r="N20" s="4"/>
      <c r="O20" s="15"/>
    </row>
    <row r="21" spans="1:15" x14ac:dyDescent="0.3">
      <c r="A21" s="4" t="s">
        <v>666</v>
      </c>
      <c r="B21" s="4"/>
      <c r="C21" s="4"/>
      <c r="D21" s="4"/>
      <c r="E21" s="4"/>
      <c r="F21" s="4"/>
      <c r="G21" s="4"/>
      <c r="H21" s="4"/>
      <c r="I21" s="141"/>
      <c r="J21" s="4"/>
      <c r="K21" s="4" t="s">
        <v>681</v>
      </c>
      <c r="L21" s="4"/>
      <c r="M21" s="4"/>
      <c r="N21" s="4"/>
      <c r="O21" s="15"/>
    </row>
    <row r="22" spans="1:15" x14ac:dyDescent="0.3">
      <c r="A22" s="4" t="s">
        <v>665</v>
      </c>
      <c r="B22" s="4"/>
      <c r="C22" s="4"/>
      <c r="D22" s="35"/>
      <c r="E22" s="4"/>
      <c r="F22" s="4"/>
      <c r="G22" s="4"/>
      <c r="H22" s="4"/>
      <c r="I22" s="141"/>
      <c r="J22" s="4"/>
      <c r="K22" s="4" t="s">
        <v>682</v>
      </c>
      <c r="L22" s="4"/>
      <c r="M22" s="4"/>
      <c r="N22" s="4"/>
      <c r="O22" s="15"/>
    </row>
    <row r="23" spans="1:15" x14ac:dyDescent="0.3">
      <c r="A23" s="4" t="s">
        <v>664</v>
      </c>
      <c r="B23" s="4"/>
      <c r="C23" s="4"/>
      <c r="D23" s="4"/>
      <c r="E23" s="4"/>
      <c r="F23" s="4"/>
      <c r="G23" s="4"/>
      <c r="H23" s="4"/>
      <c r="I23" s="4"/>
      <c r="J23" s="4"/>
      <c r="K23" s="4" t="s">
        <v>683</v>
      </c>
      <c r="L23" s="4"/>
      <c r="M23" s="4"/>
      <c r="N23" s="4"/>
    </row>
    <row r="24" spans="1:1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 t="s">
        <v>684</v>
      </c>
      <c r="L24" s="4"/>
      <c r="M24" s="4"/>
      <c r="N24" s="4"/>
    </row>
    <row r="25" spans="1:15" x14ac:dyDescent="0.3">
      <c r="A25" s="4" t="s">
        <v>663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685</v>
      </c>
      <c r="L25" s="4"/>
      <c r="M25" s="4"/>
      <c r="N25" s="4"/>
    </row>
    <row r="26" spans="1:1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 t="s">
        <v>686</v>
      </c>
      <c r="L26" s="4"/>
      <c r="M26" s="4"/>
      <c r="N26" s="4"/>
    </row>
    <row r="27" spans="1:1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 t="s">
        <v>687</v>
      </c>
      <c r="L27" s="4"/>
      <c r="M27" s="4"/>
      <c r="N27" s="4"/>
    </row>
    <row r="28" spans="1: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 t="s">
        <v>688</v>
      </c>
      <c r="L28" s="4"/>
      <c r="M28" s="4"/>
      <c r="N28" s="4"/>
    </row>
    <row r="29" spans="1:1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2">
    <mergeCell ref="A1:N1"/>
    <mergeCell ref="A2:N2"/>
  </mergeCells>
  <pageMargins left="0" right="0" top="0.2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topLeftCell="A3" zoomScaleNormal="100" workbookViewId="0">
      <selection activeCell="K26" sqref="K26"/>
    </sheetView>
  </sheetViews>
  <sheetFormatPr defaultColWidth="8.6640625" defaultRowHeight="14.4" x14ac:dyDescent="0.3"/>
  <cols>
    <col min="1" max="1" width="5.5546875" bestFit="1" customWidth="1"/>
    <col min="2" max="2" width="0.5546875" customWidth="1"/>
    <col min="4" max="4" width="1.109375" customWidth="1"/>
    <col min="5" max="5" width="14.109375" bestFit="1" customWidth="1"/>
    <col min="6" max="6" width="16.33203125" bestFit="1" customWidth="1"/>
    <col min="7" max="8" width="13.6640625" bestFit="1" customWidth="1"/>
    <col min="9" max="9" width="13.33203125" bestFit="1" customWidth="1"/>
    <col min="10" max="11" width="17.5546875" bestFit="1" customWidth="1"/>
    <col min="12" max="12" width="13" bestFit="1" customWidth="1"/>
    <col min="13" max="13" width="17.44140625" bestFit="1" customWidth="1"/>
    <col min="14" max="14" width="10.33203125" bestFit="1" customWidth="1"/>
  </cols>
  <sheetData>
    <row r="1" spans="1:15" ht="15.75" customHeight="1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4"/>
      <c r="N1" s="4"/>
      <c r="O1" s="4"/>
    </row>
    <row r="2" spans="1:15" ht="15.75" customHeight="1" x14ac:dyDescent="0.3">
      <c r="A2" s="172" t="s">
        <v>649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4"/>
      <c r="N2" s="4"/>
      <c r="O2" s="4"/>
    </row>
    <row r="3" spans="1:15" ht="17.399999999999999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4"/>
      <c r="M3" s="4"/>
      <c r="N3" s="4"/>
      <c r="O3" s="4"/>
    </row>
    <row r="4" spans="1:15" ht="18" thickBot="1" x14ac:dyDescent="0.35">
      <c r="A4" s="129"/>
      <c r="B4" s="129"/>
      <c r="C4" s="129"/>
      <c r="D4" s="129"/>
      <c r="E4" s="129"/>
      <c r="F4" s="129"/>
      <c r="G4" s="129"/>
      <c r="H4" s="129"/>
      <c r="I4" s="129"/>
      <c r="J4" s="4"/>
      <c r="K4" s="4"/>
      <c r="L4" s="4"/>
      <c r="M4" s="4"/>
      <c r="N4" s="4"/>
      <c r="O4" s="4"/>
    </row>
    <row r="5" spans="1:15" x14ac:dyDescent="0.3">
      <c r="A5" s="18"/>
      <c r="B5" s="19"/>
      <c r="C5" s="19"/>
      <c r="D5" s="19"/>
      <c r="E5" s="11" t="s">
        <v>78</v>
      </c>
      <c r="F5" s="11" t="s">
        <v>78</v>
      </c>
      <c r="G5" s="11" t="s">
        <v>79</v>
      </c>
      <c r="H5" s="11" t="s">
        <v>78</v>
      </c>
      <c r="I5" s="11" t="s">
        <v>79</v>
      </c>
      <c r="J5" s="11" t="s">
        <v>12</v>
      </c>
      <c r="K5" s="11" t="s">
        <v>651</v>
      </c>
      <c r="L5" s="11" t="s">
        <v>12</v>
      </c>
      <c r="M5" s="8" t="s">
        <v>604</v>
      </c>
      <c r="N5" s="4"/>
      <c r="O5" s="4"/>
    </row>
    <row r="6" spans="1:15" x14ac:dyDescent="0.3">
      <c r="A6" s="23" t="s">
        <v>647</v>
      </c>
      <c r="B6" s="7"/>
      <c r="C6" s="7" t="s">
        <v>11</v>
      </c>
      <c r="D6" s="4"/>
      <c r="E6" s="7" t="s">
        <v>690</v>
      </c>
      <c r="F6" s="7" t="s">
        <v>3</v>
      </c>
      <c r="G6" s="7" t="s">
        <v>3</v>
      </c>
      <c r="H6" s="7" t="s">
        <v>648</v>
      </c>
      <c r="I6" s="7" t="s">
        <v>648</v>
      </c>
      <c r="J6" s="7" t="s">
        <v>650</v>
      </c>
      <c r="K6" s="7" t="s">
        <v>650</v>
      </c>
      <c r="L6" s="7" t="s">
        <v>655</v>
      </c>
      <c r="M6" s="9" t="s">
        <v>614</v>
      </c>
      <c r="N6" s="4"/>
      <c r="O6" s="4"/>
    </row>
    <row r="7" spans="1:15" x14ac:dyDescent="0.3">
      <c r="A7" s="23" t="s">
        <v>87</v>
      </c>
      <c r="B7" s="7"/>
      <c r="C7" s="7" t="s">
        <v>87</v>
      </c>
      <c r="D7" s="4"/>
      <c r="E7" s="7" t="s">
        <v>606</v>
      </c>
      <c r="F7" s="7" t="s">
        <v>606</v>
      </c>
      <c r="G7" s="7" t="s">
        <v>606</v>
      </c>
      <c r="H7" s="7" t="s">
        <v>606</v>
      </c>
      <c r="I7" s="7" t="s">
        <v>606</v>
      </c>
      <c r="J7" s="7" t="s">
        <v>606</v>
      </c>
      <c r="K7" s="7" t="s">
        <v>606</v>
      </c>
      <c r="L7" s="7" t="s">
        <v>606</v>
      </c>
      <c r="M7" s="9" t="s">
        <v>615</v>
      </c>
      <c r="N7" s="4"/>
      <c r="O7" s="4"/>
    </row>
    <row r="8" spans="1:15" x14ac:dyDescent="0.3">
      <c r="A8" s="131"/>
      <c r="B8" s="5"/>
      <c r="C8" s="5"/>
      <c r="D8" s="80"/>
      <c r="E8" s="80"/>
      <c r="F8" s="5"/>
      <c r="G8" s="5"/>
      <c r="H8" s="5"/>
      <c r="I8" s="5"/>
      <c r="J8" s="5"/>
      <c r="K8" s="5"/>
      <c r="L8" s="5"/>
      <c r="M8" s="10" t="s">
        <v>656</v>
      </c>
      <c r="N8" s="4"/>
      <c r="O8" s="4"/>
    </row>
    <row r="9" spans="1:15" x14ac:dyDescent="0.3">
      <c r="A9" s="23"/>
      <c r="B9" s="7"/>
      <c r="C9" s="7"/>
      <c r="D9" s="4"/>
      <c r="E9" s="4"/>
      <c r="F9" s="7"/>
      <c r="G9" s="7"/>
      <c r="H9" s="7"/>
      <c r="I9" s="7"/>
      <c r="J9" s="7"/>
      <c r="K9" s="7"/>
      <c r="L9" s="7"/>
      <c r="M9" s="9"/>
      <c r="N9" s="4"/>
      <c r="O9" s="4"/>
    </row>
    <row r="10" spans="1:15" x14ac:dyDescent="0.3">
      <c r="A10" s="143">
        <v>2006</v>
      </c>
      <c r="B10" s="7"/>
      <c r="C10" s="133">
        <v>2007</v>
      </c>
      <c r="D10" s="4"/>
      <c r="E10" s="106">
        <v>2125521931</v>
      </c>
      <c r="F10" s="106">
        <v>1730000000</v>
      </c>
      <c r="G10" s="106">
        <v>1815590221</v>
      </c>
      <c r="H10" s="106">
        <v>1837720516</v>
      </c>
      <c r="I10" s="106">
        <v>1821879107</v>
      </c>
      <c r="J10" s="106"/>
      <c r="K10" s="7"/>
      <c r="L10" s="7"/>
      <c r="M10" s="9"/>
      <c r="N10" s="4"/>
      <c r="O10" s="4"/>
    </row>
    <row r="11" spans="1:15" x14ac:dyDescent="0.3">
      <c r="A11" s="143">
        <v>2007</v>
      </c>
      <c r="B11" s="7"/>
      <c r="C11" s="133">
        <v>2008</v>
      </c>
      <c r="D11" s="4"/>
      <c r="E11" s="106">
        <v>2810680266</v>
      </c>
      <c r="F11" s="106">
        <v>2150710834</v>
      </c>
      <c r="G11" s="106">
        <v>2134898554</v>
      </c>
      <c r="H11" s="106">
        <v>2094858457</v>
      </c>
      <c r="I11" s="106">
        <v>2079026236</v>
      </c>
      <c r="J11" s="106">
        <f t="shared" ref="J11:J16" si="0">+H11-H10</f>
        <v>257137941</v>
      </c>
      <c r="K11" s="35">
        <f t="shared" ref="K11:K16" si="1">+J11/H10</f>
        <v>0.1399222236249987</v>
      </c>
      <c r="L11" s="156">
        <v>98990080</v>
      </c>
      <c r="M11" s="144">
        <f t="shared" ref="M11:M20" si="2">+L11/J11</f>
        <v>0.38496878218372294</v>
      </c>
      <c r="N11" s="4"/>
      <c r="O11" s="4"/>
    </row>
    <row r="12" spans="1:15" x14ac:dyDescent="0.3">
      <c r="A12" s="143">
        <v>2008</v>
      </c>
      <c r="B12" s="7"/>
      <c r="C12" s="133">
        <v>2009</v>
      </c>
      <c r="D12" s="4"/>
      <c r="E12" s="106">
        <v>3018879066</v>
      </c>
      <c r="F12" s="106">
        <v>2180000000</v>
      </c>
      <c r="G12" s="106">
        <v>2277499081</v>
      </c>
      <c r="H12" s="106">
        <v>2240799892</v>
      </c>
      <c r="I12" s="106">
        <v>2224655715</v>
      </c>
      <c r="J12" s="106">
        <f t="shared" si="0"/>
        <v>145941435</v>
      </c>
      <c r="K12" s="35">
        <f t="shared" si="1"/>
        <v>6.9666489643887192E-2</v>
      </c>
      <c r="L12" s="156">
        <v>94331129</v>
      </c>
      <c r="M12" s="144">
        <f t="shared" si="2"/>
        <v>0.64636289892586019</v>
      </c>
      <c r="N12" s="4"/>
      <c r="O12" s="4"/>
    </row>
    <row r="13" spans="1:15" x14ac:dyDescent="0.3">
      <c r="A13" s="143">
        <v>2009</v>
      </c>
      <c r="B13" s="7"/>
      <c r="C13" s="133">
        <v>2010</v>
      </c>
      <c r="D13" s="4"/>
      <c r="E13" s="106">
        <v>3138141809</v>
      </c>
      <c r="F13" s="106">
        <v>2492451570</v>
      </c>
      <c r="G13" s="106">
        <v>2492000000</v>
      </c>
      <c r="H13" s="106">
        <v>2357502482</v>
      </c>
      <c r="I13" s="106">
        <v>2340427091</v>
      </c>
      <c r="J13" s="106">
        <f t="shared" si="0"/>
        <v>116702590</v>
      </c>
      <c r="K13" s="35">
        <f t="shared" si="1"/>
        <v>5.2080772770761986E-2</v>
      </c>
      <c r="L13" s="156">
        <v>61033544</v>
      </c>
      <c r="M13" s="144">
        <f t="shared" si="2"/>
        <v>0.52298362872666326</v>
      </c>
      <c r="N13" s="4"/>
      <c r="O13" s="4"/>
    </row>
    <row r="14" spans="1:15" x14ac:dyDescent="0.3">
      <c r="A14" s="143">
        <v>2010</v>
      </c>
      <c r="B14" s="7"/>
      <c r="C14" s="133">
        <v>2011</v>
      </c>
      <c r="D14" s="4"/>
      <c r="E14" s="106">
        <v>3243709786</v>
      </c>
      <c r="F14" s="106">
        <v>2258772050</v>
      </c>
      <c r="G14" s="106">
        <v>2171395730</v>
      </c>
      <c r="H14" s="106">
        <v>2425186520</v>
      </c>
      <c r="I14" s="106">
        <v>2411710864</v>
      </c>
      <c r="J14" s="106">
        <f t="shared" si="0"/>
        <v>67684038</v>
      </c>
      <c r="K14" s="35">
        <f t="shared" si="1"/>
        <v>2.8710060123703404E-2</v>
      </c>
      <c r="L14" s="156">
        <v>71990234</v>
      </c>
      <c r="M14" s="144">
        <f t="shared" si="2"/>
        <v>1.0636220315342297</v>
      </c>
      <c r="N14" s="4"/>
      <c r="O14" s="4"/>
    </row>
    <row r="15" spans="1:15" x14ac:dyDescent="0.3">
      <c r="A15" s="57">
        <v>2011</v>
      </c>
      <c r="B15" s="4"/>
      <c r="C15" s="133">
        <v>2012</v>
      </c>
      <c r="D15" s="4"/>
      <c r="E15" s="106">
        <v>3414600098</v>
      </c>
      <c r="F15" s="106">
        <v>2194142344</v>
      </c>
      <c r="G15" s="106">
        <v>2445939236</v>
      </c>
      <c r="H15" s="106">
        <v>2511649496</v>
      </c>
      <c r="I15" s="106">
        <v>2496554508</v>
      </c>
      <c r="J15" s="106">
        <f t="shared" si="0"/>
        <v>86462976</v>
      </c>
      <c r="K15" s="35">
        <f t="shared" si="1"/>
        <v>3.5652093266624295E-2</v>
      </c>
      <c r="L15" s="156">
        <v>127672324</v>
      </c>
      <c r="M15" s="144">
        <f t="shared" si="2"/>
        <v>1.4766126486324043</v>
      </c>
      <c r="N15" s="4"/>
      <c r="O15" s="4"/>
    </row>
    <row r="16" spans="1:15" x14ac:dyDescent="0.3">
      <c r="A16" s="138">
        <v>2012</v>
      </c>
      <c r="B16" s="73"/>
      <c r="C16" s="73">
        <v>2013</v>
      </c>
      <c r="D16" s="106"/>
      <c r="E16" s="106">
        <v>3495073328</v>
      </c>
      <c r="F16" s="106">
        <v>2459666985</v>
      </c>
      <c r="G16" s="106">
        <v>2445939236</v>
      </c>
      <c r="H16" s="106">
        <v>2536372719</v>
      </c>
      <c r="I16" s="106">
        <v>2523593378</v>
      </c>
      <c r="J16" s="106">
        <f t="shared" si="0"/>
        <v>24723223</v>
      </c>
      <c r="K16" s="35">
        <f t="shared" si="1"/>
        <v>9.8434208433038455E-3</v>
      </c>
      <c r="L16" s="156">
        <v>59098432</v>
      </c>
      <c r="M16" s="144">
        <f t="shared" si="2"/>
        <v>2.3904016074279637</v>
      </c>
      <c r="N16" s="4"/>
      <c r="O16" s="4"/>
    </row>
    <row r="17" spans="1:15" x14ac:dyDescent="0.3">
      <c r="A17" s="138">
        <v>2013</v>
      </c>
      <c r="B17" s="73"/>
      <c r="C17" s="73">
        <v>2014</v>
      </c>
      <c r="D17" s="106"/>
      <c r="E17" s="106">
        <v>3652031127</v>
      </c>
      <c r="F17" s="106">
        <v>2471606398</v>
      </c>
      <c r="G17" s="106">
        <v>2458475248</v>
      </c>
      <c r="H17" s="106">
        <v>2696245437</v>
      </c>
      <c r="I17" s="106">
        <v>2682889591</v>
      </c>
      <c r="J17" s="106">
        <f t="shared" ref="J17:J27" si="3">+H17-H16</f>
        <v>159872718</v>
      </c>
      <c r="K17" s="35">
        <f>+J17/H16</f>
        <v>6.3032028692940695E-2</v>
      </c>
      <c r="L17" s="156">
        <v>72398041</v>
      </c>
      <c r="M17" s="144">
        <f t="shared" si="2"/>
        <v>0.45284800249658608</v>
      </c>
      <c r="N17" s="4"/>
      <c r="O17" s="4"/>
    </row>
    <row r="18" spans="1:15" x14ac:dyDescent="0.3">
      <c r="A18" s="138">
        <v>2014</v>
      </c>
      <c r="B18" s="73"/>
      <c r="C18" s="73">
        <v>2015</v>
      </c>
      <c r="D18" s="106"/>
      <c r="E18" s="106">
        <v>4122680625</v>
      </c>
      <c r="F18" s="106">
        <v>2711211156</v>
      </c>
      <c r="G18" s="106">
        <v>2711180151</v>
      </c>
      <c r="H18" s="106">
        <v>2959486884</v>
      </c>
      <c r="I18" s="106">
        <v>2945955321</v>
      </c>
      <c r="J18" s="106">
        <f t="shared" si="3"/>
        <v>263241447</v>
      </c>
      <c r="K18" s="35">
        <f>+J18/H17</f>
        <v>9.7632598051940619E-2</v>
      </c>
      <c r="L18" s="156">
        <v>126133906</v>
      </c>
      <c r="M18" s="144">
        <f t="shared" si="2"/>
        <v>0.47915671121500863</v>
      </c>
      <c r="N18" s="4"/>
      <c r="O18" s="4"/>
    </row>
    <row r="19" spans="1:15" x14ac:dyDescent="0.3">
      <c r="A19" s="138">
        <v>2015</v>
      </c>
      <c r="B19" s="73"/>
      <c r="C19" s="73">
        <v>2016</v>
      </c>
      <c r="D19" s="106"/>
      <c r="E19" s="106">
        <v>4646960125</v>
      </c>
      <c r="F19" s="106">
        <v>3004584321</v>
      </c>
      <c r="G19" s="106">
        <v>3000517838</v>
      </c>
      <c r="H19" s="106">
        <v>3316694404</v>
      </c>
      <c r="I19" s="106">
        <v>3270564443</v>
      </c>
      <c r="J19" s="106">
        <f t="shared" si="3"/>
        <v>357207520</v>
      </c>
      <c r="K19" s="35">
        <f>+J19/H18</f>
        <v>0.12069913941203329</v>
      </c>
      <c r="L19" s="156">
        <v>105314147</v>
      </c>
      <c r="M19" s="144">
        <f t="shared" si="2"/>
        <v>0.29482623154182197</v>
      </c>
      <c r="N19" s="4"/>
      <c r="O19" s="4"/>
    </row>
    <row r="20" spans="1:15" x14ac:dyDescent="0.3">
      <c r="A20" s="138">
        <v>2016</v>
      </c>
      <c r="B20" s="73"/>
      <c r="C20" s="73">
        <v>2017</v>
      </c>
      <c r="D20" s="106"/>
      <c r="E20" s="106">
        <v>5080041487</v>
      </c>
      <c r="F20" s="106">
        <v>3374017714</v>
      </c>
      <c r="G20" s="106">
        <v>3352167348</v>
      </c>
      <c r="H20" s="106">
        <v>3645774984</v>
      </c>
      <c r="I20" s="106">
        <v>3674212965</v>
      </c>
      <c r="J20" s="106">
        <f t="shared" si="3"/>
        <v>329080580</v>
      </c>
      <c r="K20" s="35">
        <f>+J20/H19</f>
        <v>9.9219445603165077E-2</v>
      </c>
      <c r="L20" s="156">
        <v>161529955</v>
      </c>
      <c r="M20" s="144">
        <f t="shared" si="2"/>
        <v>0.4908522860874987</v>
      </c>
      <c r="N20" s="4"/>
      <c r="O20" s="4"/>
    </row>
    <row r="21" spans="1:15" x14ac:dyDescent="0.3">
      <c r="A21" s="138">
        <v>2017</v>
      </c>
      <c r="B21" s="4"/>
      <c r="C21" s="73">
        <v>2018</v>
      </c>
      <c r="D21" s="4"/>
      <c r="E21" s="106">
        <v>5511833667</v>
      </c>
      <c r="F21" s="106">
        <v>3735249498</v>
      </c>
      <c r="G21" s="106">
        <v>3743627709</v>
      </c>
      <c r="H21" s="106">
        <v>3992089792</v>
      </c>
      <c r="I21" s="106">
        <v>4004972992</v>
      </c>
      <c r="J21" s="106">
        <f t="shared" si="3"/>
        <v>346314808</v>
      </c>
      <c r="K21" s="35">
        <f>+J21/H20</f>
        <v>9.4990724748469563E-2</v>
      </c>
      <c r="L21" s="157">
        <v>151578551</v>
      </c>
      <c r="M21" s="144">
        <f>+L21/J21</f>
        <v>0.43769006550825862</v>
      </c>
      <c r="N21" s="6"/>
      <c r="O21" s="4"/>
    </row>
    <row r="22" spans="1:15" x14ac:dyDescent="0.3">
      <c r="A22" s="138">
        <v>2018</v>
      </c>
      <c r="B22" s="4"/>
      <c r="C22" s="73">
        <v>2019</v>
      </c>
      <c r="D22" s="4"/>
      <c r="E22" s="106">
        <v>5894477680</v>
      </c>
      <c r="F22" s="106">
        <v>4100185400</v>
      </c>
      <c r="G22" s="106">
        <v>4085218900</v>
      </c>
      <c r="H22" s="106">
        <v>4353997104</v>
      </c>
      <c r="I22" s="106">
        <v>4342138387</v>
      </c>
      <c r="J22" s="106">
        <f t="shared" si="3"/>
        <v>361907312</v>
      </c>
      <c r="K22" s="35">
        <f t="shared" ref="K22:K24" si="4">+J22/H21</f>
        <v>9.0656105162075479E-2</v>
      </c>
      <c r="L22" s="157">
        <v>219508371</v>
      </c>
      <c r="M22" s="144">
        <f t="shared" ref="M22:M26" si="5">+L22/J22</f>
        <v>0.60653201447336325</v>
      </c>
      <c r="N22" s="6"/>
      <c r="O22" s="4"/>
    </row>
    <row r="23" spans="1:15" x14ac:dyDescent="0.3">
      <c r="A23" s="138">
        <v>2019</v>
      </c>
      <c r="B23" s="4"/>
      <c r="C23" s="73">
        <v>2020</v>
      </c>
      <c r="D23" s="4"/>
      <c r="E23" s="106">
        <v>6828840302</v>
      </c>
      <c r="F23" s="106">
        <v>4755079586</v>
      </c>
      <c r="G23" s="106">
        <v>4740605141</v>
      </c>
      <c r="H23" s="106">
        <v>5056790580</v>
      </c>
      <c r="I23" s="106">
        <v>5040199092</v>
      </c>
      <c r="J23" s="106">
        <f t="shared" si="3"/>
        <v>702793476</v>
      </c>
      <c r="K23" s="35">
        <f t="shared" si="4"/>
        <v>0.16141339996628531</v>
      </c>
      <c r="L23" s="157">
        <v>329782487</v>
      </c>
      <c r="M23" s="144">
        <f t="shared" si="5"/>
        <v>0.46924523101292992</v>
      </c>
      <c r="N23" s="6"/>
      <c r="O23" s="4"/>
    </row>
    <row r="24" spans="1:15" x14ac:dyDescent="0.3">
      <c r="A24" s="138">
        <v>2020</v>
      </c>
      <c r="B24" s="4"/>
      <c r="C24" s="73">
        <v>2021</v>
      </c>
      <c r="D24" s="4"/>
      <c r="E24" s="106">
        <v>7971146878</v>
      </c>
      <c r="F24" s="106">
        <v>5376894614</v>
      </c>
      <c r="G24" s="106">
        <v>5360643421</v>
      </c>
      <c r="H24" s="106">
        <f>6037401555</f>
        <v>6037401555</v>
      </c>
      <c r="I24" s="106">
        <v>6019493666</v>
      </c>
      <c r="J24" s="106">
        <f t="shared" si="3"/>
        <v>980610975</v>
      </c>
      <c r="K24" s="35">
        <f t="shared" si="4"/>
        <v>0.19391963331018544</v>
      </c>
      <c r="L24" s="157">
        <v>561774349</v>
      </c>
      <c r="M24" s="144">
        <f t="shared" si="5"/>
        <v>0.57288197187472845</v>
      </c>
      <c r="N24" s="6"/>
      <c r="O24" s="4"/>
    </row>
    <row r="25" spans="1:15" x14ac:dyDescent="0.3">
      <c r="A25" s="138">
        <v>2021</v>
      </c>
      <c r="B25" s="4"/>
      <c r="C25" s="73">
        <v>2022</v>
      </c>
      <c r="D25" s="4"/>
      <c r="E25" s="106">
        <v>9180025526</v>
      </c>
      <c r="F25" s="106">
        <v>6613706416</v>
      </c>
      <c r="G25" s="106">
        <v>6578827540</v>
      </c>
      <c r="H25" s="106">
        <v>6928840984</v>
      </c>
      <c r="I25" s="106">
        <v>6909202850</v>
      </c>
      <c r="J25" s="106">
        <f t="shared" si="3"/>
        <v>891439429</v>
      </c>
      <c r="K25" s="35">
        <f>+J25/H24</f>
        <v>0.14765283058930143</v>
      </c>
      <c r="L25" s="157">
        <v>787815736</v>
      </c>
      <c r="M25" s="144">
        <f t="shared" si="5"/>
        <v>0.88375688843352695</v>
      </c>
      <c r="N25" s="6"/>
      <c r="O25" s="4"/>
    </row>
    <row r="26" spans="1:15" x14ac:dyDescent="0.3">
      <c r="A26" s="138">
        <v>2022</v>
      </c>
      <c r="B26" s="4"/>
      <c r="C26" s="73">
        <v>2023</v>
      </c>
      <c r="D26" s="4"/>
      <c r="E26" s="152">
        <v>11496090819</v>
      </c>
      <c r="F26" s="106">
        <v>8497607077</v>
      </c>
      <c r="G26" s="106">
        <v>8497719172</v>
      </c>
      <c r="H26" s="152">
        <v>8639713526</v>
      </c>
      <c r="I26" s="152">
        <v>8618389234</v>
      </c>
      <c r="J26" s="106">
        <f t="shared" si="3"/>
        <v>1710872542</v>
      </c>
      <c r="K26" s="35">
        <f>+J26/H25</f>
        <v>0.24692045119100398</v>
      </c>
      <c r="L26" s="164">
        <v>511523790</v>
      </c>
      <c r="M26" s="144">
        <f t="shared" si="5"/>
        <v>0.2989841600953112</v>
      </c>
      <c r="N26" s="6"/>
      <c r="O26" s="4"/>
    </row>
    <row r="27" spans="1:15" ht="15" thickBot="1" x14ac:dyDescent="0.35">
      <c r="A27" s="158">
        <v>2023</v>
      </c>
      <c r="B27" s="60"/>
      <c r="C27" s="159">
        <v>2024</v>
      </c>
      <c r="D27" s="60"/>
      <c r="E27" s="60" t="s">
        <v>772</v>
      </c>
      <c r="F27" s="60"/>
      <c r="G27" s="60"/>
      <c r="H27" s="160">
        <v>10000000000</v>
      </c>
      <c r="I27" s="60"/>
      <c r="J27" s="160">
        <f t="shared" si="3"/>
        <v>1360286474</v>
      </c>
      <c r="K27" s="161">
        <f>+J27/H26</f>
        <v>0.15744578450505442</v>
      </c>
      <c r="L27" s="60"/>
      <c r="M27" s="63"/>
      <c r="N27" s="4"/>
      <c r="O27" s="4"/>
    </row>
    <row r="28" spans="1:15" x14ac:dyDescent="0.3">
      <c r="A28" s="10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3">
      <c r="A29" s="10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3">
      <c r="A30" s="4" t="s">
        <v>652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3">
      <c r="A32" s="4" t="s">
        <v>653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">
      <c r="A33" s="76" t="s">
        <v>654</v>
      </c>
      <c r="B33" s="76"/>
      <c r="C33" s="76"/>
      <c r="D33" s="76"/>
      <c r="E33" s="76"/>
      <c r="F33" s="76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10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50" spans="1:7" x14ac:dyDescent="0.3">
      <c r="A50" s="1"/>
      <c r="C50" s="1"/>
      <c r="D50" s="1"/>
      <c r="E50" s="1"/>
      <c r="F50" s="1"/>
    </row>
    <row r="51" spans="1:7" x14ac:dyDescent="0.3">
      <c r="A51" s="1"/>
      <c r="B51" s="1"/>
      <c r="C51" s="1"/>
      <c r="D51" s="1"/>
      <c r="E51" s="1"/>
      <c r="F51" s="1"/>
    </row>
    <row r="52" spans="1:7" x14ac:dyDescent="0.3">
      <c r="A52" s="1"/>
      <c r="C52" s="1"/>
      <c r="D52" s="1"/>
      <c r="E52" s="1"/>
      <c r="F52" s="1"/>
    </row>
    <row r="53" spans="1:7" x14ac:dyDescent="0.3">
      <c r="A53" s="1"/>
      <c r="B53" s="1"/>
      <c r="C53" s="1"/>
      <c r="D53" s="1"/>
      <c r="E53" s="1"/>
      <c r="F53" s="1"/>
      <c r="G53" s="1"/>
    </row>
    <row r="54" spans="1:7" x14ac:dyDescent="0.3">
      <c r="A54" s="1"/>
      <c r="C54" s="1"/>
      <c r="D54" s="1"/>
      <c r="E54" s="1"/>
      <c r="F54" s="1"/>
    </row>
    <row r="55" spans="1:7" x14ac:dyDescent="0.3">
      <c r="A55" s="1"/>
      <c r="B55" s="1"/>
      <c r="C55" s="1"/>
      <c r="D55" s="1"/>
      <c r="E55" s="1"/>
      <c r="F55" s="1"/>
    </row>
    <row r="56" spans="1:7" x14ac:dyDescent="0.3">
      <c r="A56" s="1"/>
      <c r="C56" s="1"/>
      <c r="D56" s="1"/>
      <c r="E56" s="1"/>
      <c r="F56" s="1"/>
    </row>
    <row r="57" spans="1:7" x14ac:dyDescent="0.3">
      <c r="A57" s="1"/>
      <c r="B57" s="1"/>
      <c r="C57" s="1"/>
      <c r="D57" s="1"/>
      <c r="E57" s="1"/>
      <c r="F57" s="1"/>
    </row>
    <row r="58" spans="1:7" x14ac:dyDescent="0.3">
      <c r="A58" s="1"/>
      <c r="B58" s="1"/>
      <c r="C58" s="1"/>
      <c r="D58" s="1"/>
      <c r="E58" s="1"/>
      <c r="F58" s="1"/>
    </row>
    <row r="59" spans="1:7" x14ac:dyDescent="0.3">
      <c r="A59" s="1"/>
      <c r="B59" s="1"/>
      <c r="C59" s="1"/>
      <c r="D59" s="1"/>
      <c r="E59" s="1"/>
      <c r="F59" s="1"/>
    </row>
    <row r="60" spans="1:7" x14ac:dyDescent="0.3">
      <c r="A60" s="1"/>
      <c r="B60" s="1"/>
      <c r="C60" s="1"/>
      <c r="D60" s="1"/>
      <c r="E60" s="1"/>
      <c r="F60" s="1"/>
    </row>
    <row r="61" spans="1:7" x14ac:dyDescent="0.3">
      <c r="A61" s="1"/>
      <c r="C61" s="1"/>
      <c r="D61" s="1"/>
      <c r="E61" s="1"/>
      <c r="F61" s="1"/>
    </row>
    <row r="62" spans="1:7" x14ac:dyDescent="0.3">
      <c r="A62" s="1"/>
      <c r="C62" s="1"/>
      <c r="D62" s="1"/>
      <c r="E62" s="1"/>
      <c r="F62" s="1"/>
    </row>
    <row r="63" spans="1:7" x14ac:dyDescent="0.3">
      <c r="A63" s="1"/>
      <c r="B63" s="1"/>
      <c r="C63" s="1"/>
      <c r="D63" s="1"/>
      <c r="E63" s="1"/>
      <c r="F63" s="1"/>
      <c r="G63" s="1"/>
    </row>
    <row r="64" spans="1:7" x14ac:dyDescent="0.3">
      <c r="A64" s="1"/>
      <c r="B64" s="1"/>
      <c r="C64" s="1"/>
      <c r="D64" s="1"/>
      <c r="E64" s="1"/>
      <c r="F64" s="1"/>
    </row>
    <row r="65" spans="1:6" x14ac:dyDescent="0.3">
      <c r="A65" s="1"/>
      <c r="C65" s="1"/>
      <c r="D65" s="1"/>
      <c r="E65" s="1"/>
      <c r="F65" s="1"/>
    </row>
    <row r="66" spans="1:6" x14ac:dyDescent="0.3">
      <c r="A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</sheetData>
  <mergeCells count="3">
    <mergeCell ref="A3:K3"/>
    <mergeCell ref="A1:L1"/>
    <mergeCell ref="A2:L2"/>
  </mergeCells>
  <pageMargins left="0.25" right="0.25" top="0.5" bottom="0.5" header="0" footer="0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5"/>
  <sheetViews>
    <sheetView zoomScaleNormal="100" workbookViewId="0">
      <selection activeCell="F7" sqref="F7"/>
    </sheetView>
  </sheetViews>
  <sheetFormatPr defaultColWidth="8.6640625" defaultRowHeight="14.4" x14ac:dyDescent="0.3"/>
  <cols>
    <col min="1" max="1" width="15.44140625" customWidth="1"/>
    <col min="2" max="2" width="29.33203125" customWidth="1"/>
    <col min="3" max="3" width="2" bestFit="1" customWidth="1"/>
    <col min="4" max="4" width="13" customWidth="1"/>
    <col min="5" max="5" width="1.6640625" customWidth="1"/>
    <col min="6" max="6" width="12.109375" customWidth="1"/>
    <col min="7" max="7" width="1.6640625" customWidth="1"/>
    <col min="8" max="8" width="10.6640625" bestFit="1" customWidth="1"/>
    <col min="9" max="9" width="1.6640625" customWidth="1"/>
    <col min="10" max="10" width="11.44140625" customWidth="1"/>
    <col min="11" max="11" width="1.6640625" customWidth="1"/>
    <col min="12" max="12" width="11.44140625" customWidth="1"/>
    <col min="13" max="13" width="1.6640625" customWidth="1"/>
    <col min="14" max="14" width="13" customWidth="1"/>
    <col min="15" max="15" width="16.44140625" customWidth="1"/>
    <col min="17" max="17" width="9" bestFit="1" customWidth="1"/>
  </cols>
  <sheetData>
    <row r="1" spans="1:17" ht="15.75" customHeight="1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4"/>
      <c r="Q1" s="4"/>
    </row>
    <row r="2" spans="1:17" ht="15.6" x14ac:dyDescent="0.3">
      <c r="A2" s="172" t="s">
        <v>524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4"/>
      <c r="Q2" s="4"/>
    </row>
    <row r="3" spans="1:17" ht="15.6" x14ac:dyDescent="0.3">
      <c r="A3" s="172" t="s">
        <v>691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4"/>
      <c r="Q3" s="4"/>
    </row>
    <row r="4" spans="1:17" ht="15.6" x14ac:dyDescent="0.3">
      <c r="A4" s="145"/>
      <c r="B4" s="14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2" thickBot="1" x14ac:dyDescent="0.35">
      <c r="A5" s="145"/>
      <c r="B5" s="145"/>
      <c r="C5" s="4"/>
      <c r="D5" s="4"/>
      <c r="E5" s="4"/>
      <c r="F5" s="53"/>
      <c r="G5" s="14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18"/>
      <c r="B6" s="19"/>
      <c r="C6" s="19"/>
      <c r="D6" s="11">
        <v>2019</v>
      </c>
      <c r="E6" s="19"/>
      <c r="F6" s="11">
        <v>2020</v>
      </c>
      <c r="G6" s="19"/>
      <c r="H6" s="11">
        <v>2021</v>
      </c>
      <c r="I6" s="19"/>
      <c r="J6" s="11" t="s">
        <v>85</v>
      </c>
      <c r="K6" s="11"/>
      <c r="L6" s="11">
        <v>2022</v>
      </c>
      <c r="M6" s="11"/>
      <c r="N6" s="11">
        <v>2023</v>
      </c>
      <c r="O6" s="8" t="s">
        <v>500</v>
      </c>
      <c r="P6" s="4"/>
      <c r="Q6" s="4"/>
    </row>
    <row r="7" spans="1:17" x14ac:dyDescent="0.3">
      <c r="A7" s="23" t="s">
        <v>11</v>
      </c>
      <c r="B7" s="7" t="s">
        <v>11</v>
      </c>
      <c r="C7" s="7"/>
      <c r="D7" s="7" t="s">
        <v>86</v>
      </c>
      <c r="E7" s="7"/>
      <c r="F7" s="7" t="s">
        <v>86</v>
      </c>
      <c r="G7" s="32"/>
      <c r="H7" s="7" t="s">
        <v>86</v>
      </c>
      <c r="I7" s="4"/>
      <c r="J7" s="7" t="s">
        <v>87</v>
      </c>
      <c r="K7" s="7"/>
      <c r="L7" s="7" t="s">
        <v>88</v>
      </c>
      <c r="M7" s="4"/>
      <c r="N7" s="7" t="s">
        <v>3</v>
      </c>
      <c r="O7" s="9" t="s">
        <v>566</v>
      </c>
      <c r="P7" s="4"/>
      <c r="Q7" s="4"/>
    </row>
    <row r="8" spans="1:17" ht="15" thickBot="1" x14ac:dyDescent="0.35">
      <c r="A8" s="26" t="s">
        <v>7</v>
      </c>
      <c r="B8" s="27" t="s">
        <v>8</v>
      </c>
      <c r="C8" s="27"/>
      <c r="D8" s="27" t="s">
        <v>9</v>
      </c>
      <c r="E8" s="27"/>
      <c r="F8" s="27" t="s">
        <v>9</v>
      </c>
      <c r="G8" s="147"/>
      <c r="H8" s="27" t="s">
        <v>9</v>
      </c>
      <c r="I8" s="60"/>
      <c r="J8" s="27" t="s">
        <v>89</v>
      </c>
      <c r="K8" s="27"/>
      <c r="L8" s="27" t="s">
        <v>11</v>
      </c>
      <c r="M8" s="60"/>
      <c r="N8" s="27" t="s">
        <v>9</v>
      </c>
      <c r="O8" s="29" t="s">
        <v>673</v>
      </c>
      <c r="P8" s="4"/>
      <c r="Q8" s="4"/>
    </row>
    <row r="9" spans="1:17" x14ac:dyDescent="0.3">
      <c r="A9" s="4"/>
      <c r="B9" s="4"/>
      <c r="C9" s="134"/>
      <c r="D9" s="134"/>
      <c r="E9" s="134"/>
      <c r="F9" s="4"/>
      <c r="G9" s="4"/>
      <c r="H9" s="4"/>
      <c r="I9" s="4"/>
      <c r="J9" s="4"/>
      <c r="K9" s="4"/>
      <c r="L9" s="4"/>
      <c r="M9" s="4"/>
      <c r="N9" s="7"/>
      <c r="O9" s="4"/>
      <c r="P9" s="4"/>
      <c r="Q9" s="4"/>
    </row>
    <row r="10" spans="1:17" x14ac:dyDescent="0.3">
      <c r="A10" s="4" t="s">
        <v>90</v>
      </c>
      <c r="B10" s="4" t="s">
        <v>91</v>
      </c>
      <c r="C10" s="38" t="s">
        <v>16</v>
      </c>
      <c r="D10" s="38">
        <v>3125352.41</v>
      </c>
      <c r="E10" s="38" t="s">
        <v>16</v>
      </c>
      <c r="F10" s="38">
        <v>3898817.5</v>
      </c>
      <c r="G10" s="38" t="s">
        <v>16</v>
      </c>
      <c r="H10" s="38">
        <v>4328429.01</v>
      </c>
      <c r="I10" s="38" t="s">
        <v>16</v>
      </c>
      <c r="J10" s="38">
        <f t="shared" ref="J10:J16" si="0">(+D10+F10+H10)/3</f>
        <v>3784199.64</v>
      </c>
      <c r="K10" s="38" t="s">
        <v>16</v>
      </c>
      <c r="L10" s="91">
        <v>4935058</v>
      </c>
      <c r="M10" s="38" t="s">
        <v>16</v>
      </c>
      <c r="N10" s="106">
        <v>6228800</v>
      </c>
      <c r="O10" s="91">
        <f>+N10-L10</f>
        <v>1293742</v>
      </c>
      <c r="P10" s="4"/>
      <c r="Q10" s="4"/>
    </row>
    <row r="11" spans="1:17" x14ac:dyDescent="0.3">
      <c r="A11" s="4" t="s">
        <v>92</v>
      </c>
      <c r="B11" s="4" t="s">
        <v>93</v>
      </c>
      <c r="C11" s="38"/>
      <c r="D11" s="38">
        <v>1469480.36</v>
      </c>
      <c r="E11" s="38"/>
      <c r="F11" s="38">
        <v>1668450.32</v>
      </c>
      <c r="G11" s="4"/>
      <c r="H11" s="38">
        <v>1825782.29</v>
      </c>
      <c r="I11" s="4"/>
      <c r="J11" s="38">
        <f t="shared" si="0"/>
        <v>1654570.9900000002</v>
      </c>
      <c r="K11" s="4"/>
      <c r="L11" s="91">
        <v>2039996</v>
      </c>
      <c r="M11" s="4"/>
      <c r="N11" s="106">
        <v>2302253</v>
      </c>
      <c r="O11" s="91">
        <f t="shared" ref="O11:O43" si="1">+N11-L11</f>
        <v>262257</v>
      </c>
      <c r="P11" s="4"/>
      <c r="Q11" s="4"/>
    </row>
    <row r="12" spans="1:17" x14ac:dyDescent="0.3">
      <c r="A12" s="4" t="s">
        <v>94</v>
      </c>
      <c r="B12" s="4" t="s">
        <v>95</v>
      </c>
      <c r="C12" s="38"/>
      <c r="D12" s="38">
        <v>111373.65</v>
      </c>
      <c r="E12" s="38"/>
      <c r="F12" s="38">
        <v>87991.51</v>
      </c>
      <c r="G12" s="4"/>
      <c r="H12" s="38">
        <v>115937.71</v>
      </c>
      <c r="I12" s="4"/>
      <c r="J12" s="38">
        <f t="shared" si="0"/>
        <v>105100.95666666667</v>
      </c>
      <c r="K12" s="4"/>
      <c r="L12" s="38">
        <v>97256</v>
      </c>
      <c r="M12" s="4"/>
      <c r="N12" s="106">
        <v>105100</v>
      </c>
      <c r="O12" s="91">
        <f t="shared" si="1"/>
        <v>7844</v>
      </c>
      <c r="P12" s="4"/>
      <c r="Q12" s="4"/>
    </row>
    <row r="13" spans="1:17" x14ac:dyDescent="0.3">
      <c r="A13" s="4" t="s">
        <v>96</v>
      </c>
      <c r="B13" s="4" t="s">
        <v>97</v>
      </c>
      <c r="C13" s="38"/>
      <c r="D13" s="38">
        <v>51057.72</v>
      </c>
      <c r="E13" s="38"/>
      <c r="F13" s="38">
        <v>40492.68</v>
      </c>
      <c r="G13" s="4"/>
      <c r="H13" s="38">
        <v>50766.41</v>
      </c>
      <c r="I13" s="4"/>
      <c r="J13" s="38">
        <f t="shared" si="0"/>
        <v>47438.936666666668</v>
      </c>
      <c r="K13" s="38"/>
      <c r="L13" s="38">
        <v>44901</v>
      </c>
      <c r="M13" s="4"/>
      <c r="N13" s="106">
        <v>47400</v>
      </c>
      <c r="O13" s="91">
        <f t="shared" si="1"/>
        <v>2499</v>
      </c>
      <c r="P13" s="106"/>
      <c r="Q13" s="4"/>
    </row>
    <row r="14" spans="1:17" x14ac:dyDescent="0.3">
      <c r="A14" s="4" t="s">
        <v>98</v>
      </c>
      <c r="B14" s="4" t="s">
        <v>99</v>
      </c>
      <c r="C14" s="38"/>
      <c r="D14" s="38">
        <v>92810.18</v>
      </c>
      <c r="E14" s="38"/>
      <c r="F14" s="38">
        <v>109785.06</v>
      </c>
      <c r="G14" s="4"/>
      <c r="H14" s="38">
        <v>114478.91</v>
      </c>
      <c r="I14" s="4"/>
      <c r="J14" s="38">
        <f t="shared" si="0"/>
        <v>105691.38333333335</v>
      </c>
      <c r="K14" s="4"/>
      <c r="L14" s="38">
        <v>96583</v>
      </c>
      <c r="M14" s="4"/>
      <c r="N14" s="106">
        <v>105700</v>
      </c>
      <c r="O14" s="91">
        <f t="shared" si="1"/>
        <v>9117</v>
      </c>
      <c r="P14" s="4"/>
      <c r="Q14" s="4"/>
    </row>
    <row r="15" spans="1:17" x14ac:dyDescent="0.3">
      <c r="A15" s="4" t="s">
        <v>100</v>
      </c>
      <c r="B15" s="4" t="s">
        <v>101</v>
      </c>
      <c r="C15" s="38"/>
      <c r="D15" s="38">
        <v>33357.839999999997</v>
      </c>
      <c r="E15" s="38"/>
      <c r="F15" s="38">
        <v>33305.85</v>
      </c>
      <c r="G15" s="4"/>
      <c r="H15" s="38">
        <v>33175.78</v>
      </c>
      <c r="I15" s="4"/>
      <c r="J15" s="38">
        <f t="shared" si="0"/>
        <v>33279.823333333334</v>
      </c>
      <c r="K15" s="4"/>
      <c r="L15" s="38">
        <v>44058</v>
      </c>
      <c r="M15" s="4"/>
      <c r="N15" s="106">
        <v>33300</v>
      </c>
      <c r="O15" s="91">
        <f t="shared" si="1"/>
        <v>-10758</v>
      </c>
      <c r="P15" s="4"/>
      <c r="Q15" s="4"/>
    </row>
    <row r="16" spans="1:17" x14ac:dyDescent="0.3">
      <c r="A16" s="4" t="s">
        <v>556</v>
      </c>
      <c r="B16" s="4" t="s">
        <v>557</v>
      </c>
      <c r="C16" s="38"/>
      <c r="D16" s="38">
        <v>0</v>
      </c>
      <c r="E16" s="38"/>
      <c r="F16" s="38">
        <v>0</v>
      </c>
      <c r="G16" s="4"/>
      <c r="H16" s="38">
        <v>0</v>
      </c>
      <c r="I16" s="4"/>
      <c r="J16" s="38">
        <f t="shared" si="0"/>
        <v>0</v>
      </c>
      <c r="K16" s="4"/>
      <c r="L16" s="38">
        <v>0</v>
      </c>
      <c r="M16" s="4"/>
      <c r="N16" s="106">
        <v>0</v>
      </c>
      <c r="O16" s="91">
        <f t="shared" si="1"/>
        <v>0</v>
      </c>
      <c r="P16" s="4"/>
      <c r="Q16" s="4"/>
    </row>
    <row r="17" spans="1:17" x14ac:dyDescent="0.3">
      <c r="A17" s="4" t="s">
        <v>102</v>
      </c>
      <c r="B17" s="4" t="s">
        <v>103</v>
      </c>
      <c r="C17" s="38"/>
      <c r="D17" s="38">
        <v>0</v>
      </c>
      <c r="E17" s="38"/>
      <c r="F17" s="38">
        <v>0</v>
      </c>
      <c r="G17" s="4"/>
      <c r="H17" s="38">
        <v>0</v>
      </c>
      <c r="I17" s="4"/>
      <c r="J17" s="38">
        <f t="shared" ref="J17:J42" si="2">(+D17+F17+H17)/3</f>
        <v>0</v>
      </c>
      <c r="K17" s="4"/>
      <c r="L17" s="38">
        <f t="shared" ref="L17:L27" si="3">+H17</f>
        <v>0</v>
      </c>
      <c r="M17" s="4"/>
      <c r="N17" s="106">
        <v>0</v>
      </c>
      <c r="O17" s="91">
        <f t="shared" si="1"/>
        <v>0</v>
      </c>
      <c r="P17" s="4"/>
      <c r="Q17" s="4"/>
    </row>
    <row r="18" spans="1:17" x14ac:dyDescent="0.3">
      <c r="A18" s="4" t="s">
        <v>104</v>
      </c>
      <c r="B18" s="4" t="s">
        <v>105</v>
      </c>
      <c r="C18" s="38"/>
      <c r="D18" s="38">
        <v>136750</v>
      </c>
      <c r="E18" s="38"/>
      <c r="F18" s="38">
        <v>124050</v>
      </c>
      <c r="G18" s="4"/>
      <c r="H18" s="38">
        <v>124750</v>
      </c>
      <c r="I18" s="4"/>
      <c r="J18" s="38">
        <f t="shared" si="2"/>
        <v>128516.66666666667</v>
      </c>
      <c r="K18" s="4"/>
      <c r="L18" s="38">
        <v>131950</v>
      </c>
      <c r="M18" s="4"/>
      <c r="N18" s="106">
        <v>128500</v>
      </c>
      <c r="O18" s="91">
        <f t="shared" si="1"/>
        <v>-3450</v>
      </c>
      <c r="P18" s="4"/>
      <c r="Q18" s="4"/>
    </row>
    <row r="19" spans="1:17" x14ac:dyDescent="0.3">
      <c r="A19" s="4" t="s">
        <v>106</v>
      </c>
      <c r="B19" s="4" t="s">
        <v>107</v>
      </c>
      <c r="C19" s="38"/>
      <c r="D19" s="38">
        <v>473299.13</v>
      </c>
      <c r="E19" s="38"/>
      <c r="F19" s="38">
        <v>470930</v>
      </c>
      <c r="G19" s="4"/>
      <c r="H19" s="38">
        <v>508752.87</v>
      </c>
      <c r="I19" s="4"/>
      <c r="J19" s="38">
        <f t="shared" si="2"/>
        <v>484327.33333333331</v>
      </c>
      <c r="K19" s="4"/>
      <c r="L19" s="38">
        <v>463696</v>
      </c>
      <c r="M19" s="4"/>
      <c r="N19" s="106">
        <v>484300</v>
      </c>
      <c r="O19" s="91">
        <f t="shared" si="1"/>
        <v>20604</v>
      </c>
      <c r="P19" s="4"/>
      <c r="Q19" s="4"/>
    </row>
    <row r="20" spans="1:17" x14ac:dyDescent="0.3">
      <c r="A20" s="4" t="s">
        <v>108</v>
      </c>
      <c r="B20" s="4" t="s">
        <v>109</v>
      </c>
      <c r="C20" s="38"/>
      <c r="D20" s="38">
        <v>76529.83</v>
      </c>
      <c r="E20" s="38"/>
      <c r="F20" s="38">
        <v>68070.2</v>
      </c>
      <c r="G20" s="4"/>
      <c r="H20" s="38">
        <v>62278.22</v>
      </c>
      <c r="I20" s="4"/>
      <c r="J20" s="38">
        <f t="shared" si="2"/>
        <v>68959.416666666672</v>
      </c>
      <c r="K20" s="4"/>
      <c r="L20" s="38">
        <v>61293</v>
      </c>
      <c r="M20" s="4"/>
      <c r="N20" s="106">
        <v>69000</v>
      </c>
      <c r="O20" s="91">
        <f t="shared" si="1"/>
        <v>7707</v>
      </c>
      <c r="P20" s="4"/>
      <c r="Q20" s="4"/>
    </row>
    <row r="21" spans="1:17" x14ac:dyDescent="0.3">
      <c r="A21" s="4" t="s">
        <v>110</v>
      </c>
      <c r="B21" s="4" t="s">
        <v>111</v>
      </c>
      <c r="C21" s="38"/>
      <c r="D21" s="38">
        <v>396903.24</v>
      </c>
      <c r="E21" s="38"/>
      <c r="F21" s="38">
        <v>397487.15</v>
      </c>
      <c r="G21" s="4"/>
      <c r="H21" s="38">
        <v>379993.57</v>
      </c>
      <c r="I21" s="4"/>
      <c r="J21" s="38">
        <f t="shared" si="2"/>
        <v>391461.32</v>
      </c>
      <c r="K21" s="4"/>
      <c r="L21" s="38">
        <v>397221</v>
      </c>
      <c r="M21" s="4"/>
      <c r="N21" s="106">
        <v>391500</v>
      </c>
      <c r="O21" s="91">
        <f t="shared" si="1"/>
        <v>-5721</v>
      </c>
      <c r="P21" s="4"/>
      <c r="Q21" s="4"/>
    </row>
    <row r="22" spans="1:17" x14ac:dyDescent="0.3">
      <c r="A22" s="4" t="s">
        <v>112</v>
      </c>
      <c r="B22" s="4" t="s">
        <v>113</v>
      </c>
      <c r="C22" s="38"/>
      <c r="D22" s="38">
        <v>55369.39</v>
      </c>
      <c r="E22" s="38"/>
      <c r="F22" s="38">
        <v>55247.11</v>
      </c>
      <c r="G22" s="4"/>
      <c r="H22" s="38">
        <v>65905.350000000006</v>
      </c>
      <c r="I22" s="4"/>
      <c r="J22" s="38">
        <f t="shared" si="2"/>
        <v>58840.616666666669</v>
      </c>
      <c r="K22" s="4"/>
      <c r="L22" s="38">
        <v>53548</v>
      </c>
      <c r="M22" s="4"/>
      <c r="N22" s="106">
        <v>58800</v>
      </c>
      <c r="O22" s="91">
        <f t="shared" si="1"/>
        <v>5252</v>
      </c>
      <c r="P22" s="4"/>
      <c r="Q22" s="4"/>
    </row>
    <row r="23" spans="1:17" x14ac:dyDescent="0.3">
      <c r="A23" s="4" t="s">
        <v>114</v>
      </c>
      <c r="B23" s="4" t="s">
        <v>115</v>
      </c>
      <c r="C23" s="38"/>
      <c r="D23" s="38">
        <v>80720.66</v>
      </c>
      <c r="E23" s="38"/>
      <c r="F23" s="38">
        <v>52900.2</v>
      </c>
      <c r="G23" s="4"/>
      <c r="H23" s="38">
        <v>51262.25</v>
      </c>
      <c r="I23" s="4"/>
      <c r="J23" s="38">
        <f t="shared" si="2"/>
        <v>61627.703333333331</v>
      </c>
      <c r="K23" s="4"/>
      <c r="L23" s="38">
        <v>82724</v>
      </c>
      <c r="M23" s="4"/>
      <c r="N23" s="106">
        <v>61600</v>
      </c>
      <c r="O23" s="91">
        <f t="shared" si="1"/>
        <v>-21124</v>
      </c>
      <c r="P23" s="4"/>
      <c r="Q23" s="4"/>
    </row>
    <row r="24" spans="1:17" hidden="1" x14ac:dyDescent="0.3">
      <c r="A24" s="4" t="s">
        <v>525</v>
      </c>
      <c r="B24" s="4" t="s">
        <v>116</v>
      </c>
      <c r="C24" s="38"/>
      <c r="D24" s="38">
        <v>0</v>
      </c>
      <c r="E24" s="38"/>
      <c r="F24" s="38">
        <v>0</v>
      </c>
      <c r="G24" s="4"/>
      <c r="H24" s="38">
        <v>0</v>
      </c>
      <c r="I24" s="4"/>
      <c r="J24" s="38">
        <f t="shared" si="2"/>
        <v>0</v>
      </c>
      <c r="K24" s="4"/>
      <c r="L24" s="38">
        <f t="shared" si="3"/>
        <v>0</v>
      </c>
      <c r="M24" s="4"/>
      <c r="N24" s="106"/>
      <c r="O24" s="91">
        <f t="shared" si="1"/>
        <v>0</v>
      </c>
      <c r="P24" s="4"/>
      <c r="Q24" s="4"/>
    </row>
    <row r="25" spans="1:17" hidden="1" x14ac:dyDescent="0.3">
      <c r="A25" s="4" t="s">
        <v>544</v>
      </c>
      <c r="B25" s="4" t="s">
        <v>499</v>
      </c>
      <c r="C25" s="38"/>
      <c r="D25" s="38">
        <v>0</v>
      </c>
      <c r="E25" s="38"/>
      <c r="F25" s="38">
        <v>0</v>
      </c>
      <c r="G25" s="4"/>
      <c r="H25" s="38">
        <v>0</v>
      </c>
      <c r="I25" s="4"/>
      <c r="J25" s="38">
        <f t="shared" si="2"/>
        <v>0</v>
      </c>
      <c r="K25" s="4"/>
      <c r="L25" s="38">
        <v>0</v>
      </c>
      <c r="M25" s="4"/>
      <c r="N25" s="106"/>
      <c r="O25" s="91">
        <f t="shared" si="1"/>
        <v>0</v>
      </c>
      <c r="P25" s="4"/>
      <c r="Q25" s="4"/>
    </row>
    <row r="26" spans="1:17" hidden="1" x14ac:dyDescent="0.3">
      <c r="A26" s="4" t="s">
        <v>526</v>
      </c>
      <c r="B26" s="4" t="s">
        <v>117</v>
      </c>
      <c r="C26" s="38"/>
      <c r="D26" s="38">
        <v>0</v>
      </c>
      <c r="E26" s="38"/>
      <c r="F26" s="38">
        <v>0</v>
      </c>
      <c r="G26" s="4"/>
      <c r="H26" s="38">
        <v>0</v>
      </c>
      <c r="I26" s="4"/>
      <c r="J26" s="38">
        <f t="shared" si="2"/>
        <v>0</v>
      </c>
      <c r="K26" s="4"/>
      <c r="L26" s="38">
        <v>0</v>
      </c>
      <c r="M26" s="4"/>
      <c r="N26" s="106"/>
      <c r="O26" s="91">
        <f t="shared" si="1"/>
        <v>0</v>
      </c>
      <c r="P26" s="4"/>
      <c r="Q26" s="4"/>
    </row>
    <row r="27" spans="1:17" hidden="1" x14ac:dyDescent="0.3">
      <c r="A27" s="4" t="s">
        <v>118</v>
      </c>
      <c r="B27" s="4" t="s">
        <v>119</v>
      </c>
      <c r="C27" s="38"/>
      <c r="D27" s="38">
        <v>0</v>
      </c>
      <c r="E27" s="38"/>
      <c r="F27" s="38">
        <v>0</v>
      </c>
      <c r="G27" s="4"/>
      <c r="H27" s="38">
        <v>0</v>
      </c>
      <c r="I27" s="4"/>
      <c r="J27" s="38">
        <f t="shared" si="2"/>
        <v>0</v>
      </c>
      <c r="K27" s="4"/>
      <c r="L27" s="38">
        <f t="shared" si="3"/>
        <v>0</v>
      </c>
      <c r="M27" s="4"/>
      <c r="N27" s="106"/>
      <c r="O27" s="91">
        <f t="shared" si="1"/>
        <v>0</v>
      </c>
      <c r="P27" s="4"/>
      <c r="Q27" s="4"/>
    </row>
    <row r="28" spans="1:17" hidden="1" x14ac:dyDescent="0.3">
      <c r="A28" s="4" t="s">
        <v>536</v>
      </c>
      <c r="B28" s="4" t="s">
        <v>120</v>
      </c>
      <c r="C28" s="38"/>
      <c r="D28" s="38">
        <v>0</v>
      </c>
      <c r="E28" s="38"/>
      <c r="F28" s="38">
        <v>0</v>
      </c>
      <c r="G28" s="4"/>
      <c r="H28" s="38">
        <v>0</v>
      </c>
      <c r="I28" s="4"/>
      <c r="J28" s="38">
        <f t="shared" si="2"/>
        <v>0</v>
      </c>
      <c r="K28" s="4"/>
      <c r="L28" s="38">
        <v>0</v>
      </c>
      <c r="M28" s="4"/>
      <c r="N28" s="106"/>
      <c r="O28" s="91">
        <f t="shared" si="1"/>
        <v>0</v>
      </c>
      <c r="P28" s="4"/>
      <c r="Q28" s="4"/>
    </row>
    <row r="29" spans="1:17" x14ac:dyDescent="0.3">
      <c r="A29" s="4" t="s">
        <v>121</v>
      </c>
      <c r="B29" s="4" t="s">
        <v>537</v>
      </c>
      <c r="C29" s="38"/>
      <c r="D29" s="38">
        <v>152965.07999999999</v>
      </c>
      <c r="E29" s="38"/>
      <c r="F29" s="38">
        <v>226602.66</v>
      </c>
      <c r="G29" s="4"/>
      <c r="H29" s="38">
        <v>383537.29</v>
      </c>
      <c r="I29" s="4"/>
      <c r="J29" s="38">
        <f t="shared" si="2"/>
        <v>254368.34333333335</v>
      </c>
      <c r="K29" s="4"/>
      <c r="L29" s="38">
        <v>180954</v>
      </c>
      <c r="M29" s="4"/>
      <c r="N29" s="106">
        <v>254400</v>
      </c>
      <c r="O29" s="91">
        <f t="shared" si="1"/>
        <v>73446</v>
      </c>
      <c r="P29" s="4"/>
      <c r="Q29" s="4"/>
    </row>
    <row r="30" spans="1:17" x14ac:dyDescent="0.3">
      <c r="A30" s="4" t="s">
        <v>122</v>
      </c>
      <c r="B30" s="4" t="s">
        <v>123</v>
      </c>
      <c r="C30" s="38"/>
      <c r="D30" s="38">
        <v>0</v>
      </c>
      <c r="E30" s="38"/>
      <c r="F30" s="38"/>
      <c r="G30" s="4"/>
      <c r="H30" s="38"/>
      <c r="I30" s="4"/>
      <c r="J30" s="38">
        <f t="shared" si="2"/>
        <v>0</v>
      </c>
      <c r="K30" s="4"/>
      <c r="L30" s="38">
        <v>0</v>
      </c>
      <c r="M30" s="4"/>
      <c r="N30" s="106"/>
      <c r="O30" s="91">
        <f t="shared" si="1"/>
        <v>0</v>
      </c>
      <c r="P30" s="4"/>
      <c r="Q30" s="4"/>
    </row>
    <row r="31" spans="1:17" x14ac:dyDescent="0.3">
      <c r="A31" s="4" t="s">
        <v>124</v>
      </c>
      <c r="B31" s="4" t="s">
        <v>125</v>
      </c>
      <c r="C31" s="38"/>
      <c r="D31" s="38">
        <v>0</v>
      </c>
      <c r="E31" s="38"/>
      <c r="F31" s="38">
        <v>0</v>
      </c>
      <c r="G31" s="4"/>
      <c r="H31" s="38">
        <v>0</v>
      </c>
      <c r="I31" s="4"/>
      <c r="J31" s="38">
        <f t="shared" si="2"/>
        <v>0</v>
      </c>
      <c r="K31" s="4"/>
      <c r="L31" s="38">
        <v>0</v>
      </c>
      <c r="M31" s="4"/>
      <c r="N31" s="106"/>
      <c r="O31" s="91">
        <f t="shared" si="1"/>
        <v>0</v>
      </c>
      <c r="P31" s="4"/>
      <c r="Q31" s="4"/>
    </row>
    <row r="32" spans="1:17" x14ac:dyDescent="0.3">
      <c r="A32" s="4" t="s">
        <v>126</v>
      </c>
      <c r="B32" s="4" t="s">
        <v>127</v>
      </c>
      <c r="C32" s="38"/>
      <c r="D32" s="38">
        <v>1500</v>
      </c>
      <c r="E32" s="38"/>
      <c r="F32" s="38">
        <v>0</v>
      </c>
      <c r="G32" s="4"/>
      <c r="H32" s="38">
        <v>1500</v>
      </c>
      <c r="I32" s="4"/>
      <c r="J32" s="38">
        <f t="shared" si="2"/>
        <v>1000</v>
      </c>
      <c r="K32" s="4"/>
      <c r="L32" s="38">
        <v>0</v>
      </c>
      <c r="M32" s="4"/>
      <c r="N32" s="106"/>
      <c r="O32" s="91">
        <f t="shared" si="1"/>
        <v>0</v>
      </c>
      <c r="P32" s="4"/>
      <c r="Q32" s="4"/>
    </row>
    <row r="33" spans="1:17" x14ac:dyDescent="0.3">
      <c r="A33" s="4" t="s">
        <v>128</v>
      </c>
      <c r="B33" s="4" t="s">
        <v>129</v>
      </c>
      <c r="C33" s="38"/>
      <c r="D33" s="38">
        <v>0</v>
      </c>
      <c r="E33" s="38"/>
      <c r="F33" s="38">
        <v>0</v>
      </c>
      <c r="G33" s="4"/>
      <c r="H33" s="38">
        <v>0</v>
      </c>
      <c r="I33" s="4"/>
      <c r="J33" s="38">
        <f t="shared" si="2"/>
        <v>0</v>
      </c>
      <c r="K33" s="4"/>
      <c r="L33" s="38">
        <v>0</v>
      </c>
      <c r="M33" s="4"/>
      <c r="N33" s="106"/>
      <c r="O33" s="91">
        <f t="shared" si="1"/>
        <v>0</v>
      </c>
      <c r="P33" s="4"/>
      <c r="Q33" s="4"/>
    </row>
    <row r="34" spans="1:17" x14ac:dyDescent="0.3">
      <c r="A34" s="4" t="s">
        <v>130</v>
      </c>
      <c r="B34" s="4" t="s">
        <v>131</v>
      </c>
      <c r="C34" s="38"/>
      <c r="D34" s="38">
        <v>0</v>
      </c>
      <c r="E34" s="38"/>
      <c r="F34" s="38">
        <v>0</v>
      </c>
      <c r="G34" s="4"/>
      <c r="H34" s="38">
        <v>0</v>
      </c>
      <c r="I34" s="4"/>
      <c r="J34" s="38">
        <f t="shared" si="2"/>
        <v>0</v>
      </c>
      <c r="K34" s="4"/>
      <c r="L34" s="38">
        <v>0</v>
      </c>
      <c r="M34" s="4"/>
      <c r="N34" s="106"/>
      <c r="O34" s="91">
        <f t="shared" si="1"/>
        <v>0</v>
      </c>
      <c r="P34" s="4"/>
      <c r="Q34" s="4"/>
    </row>
    <row r="35" spans="1:17" x14ac:dyDescent="0.3">
      <c r="A35" s="4" t="s">
        <v>502</v>
      </c>
      <c r="B35" s="4" t="s">
        <v>503</v>
      </c>
      <c r="C35" s="38"/>
      <c r="D35" s="38">
        <v>0</v>
      </c>
      <c r="E35" s="38"/>
      <c r="F35" s="38">
        <v>0</v>
      </c>
      <c r="G35" s="4"/>
      <c r="H35" s="38">
        <v>0</v>
      </c>
      <c r="I35" s="4"/>
      <c r="J35" s="38">
        <f t="shared" si="2"/>
        <v>0</v>
      </c>
      <c r="K35" s="4"/>
      <c r="L35" s="38">
        <v>0</v>
      </c>
      <c r="M35" s="4"/>
      <c r="N35" s="106"/>
      <c r="O35" s="91">
        <f t="shared" si="1"/>
        <v>0</v>
      </c>
      <c r="P35" s="4"/>
      <c r="Q35" s="4"/>
    </row>
    <row r="36" spans="1:17" x14ac:dyDescent="0.3">
      <c r="A36" s="4" t="s">
        <v>538</v>
      </c>
      <c r="B36" s="4" t="s">
        <v>539</v>
      </c>
      <c r="C36" s="38"/>
      <c r="D36" s="38">
        <v>0</v>
      </c>
      <c r="E36" s="38"/>
      <c r="F36" s="38">
        <v>0</v>
      </c>
      <c r="G36" s="4"/>
      <c r="H36" s="38">
        <v>0</v>
      </c>
      <c r="I36" s="4"/>
      <c r="J36" s="38">
        <f t="shared" si="2"/>
        <v>0</v>
      </c>
      <c r="K36" s="4"/>
      <c r="L36" s="38">
        <v>0</v>
      </c>
      <c r="M36" s="4"/>
      <c r="N36" s="106"/>
      <c r="O36" s="91">
        <f t="shared" si="1"/>
        <v>0</v>
      </c>
      <c r="P36" s="4"/>
      <c r="Q36" s="4"/>
    </row>
    <row r="37" spans="1:17" x14ac:dyDescent="0.3">
      <c r="A37" s="4" t="s">
        <v>132</v>
      </c>
      <c r="B37" s="4" t="s">
        <v>133</v>
      </c>
      <c r="C37" s="38"/>
      <c r="D37" s="38">
        <v>0</v>
      </c>
      <c r="E37" s="38"/>
      <c r="F37" s="38">
        <v>0</v>
      </c>
      <c r="G37" s="4"/>
      <c r="H37" s="38">
        <v>0</v>
      </c>
      <c r="I37" s="4"/>
      <c r="J37" s="38">
        <f t="shared" si="2"/>
        <v>0</v>
      </c>
      <c r="K37" s="4"/>
      <c r="L37" s="38">
        <v>0</v>
      </c>
      <c r="M37" s="4"/>
      <c r="N37" s="106"/>
      <c r="O37" s="91">
        <f t="shared" si="1"/>
        <v>0</v>
      </c>
      <c r="P37" s="4"/>
      <c r="Q37" s="4"/>
    </row>
    <row r="38" spans="1:17" x14ac:dyDescent="0.3">
      <c r="A38" s="4" t="s">
        <v>134</v>
      </c>
      <c r="B38" s="4" t="s">
        <v>135</v>
      </c>
      <c r="C38" s="38"/>
      <c r="D38" s="38">
        <v>0</v>
      </c>
      <c r="E38" s="38"/>
      <c r="F38" s="38">
        <v>0</v>
      </c>
      <c r="G38" s="4"/>
      <c r="H38" s="38">
        <v>0</v>
      </c>
      <c r="I38" s="4"/>
      <c r="J38" s="38">
        <f t="shared" si="2"/>
        <v>0</v>
      </c>
      <c r="K38" s="4"/>
      <c r="L38" s="38">
        <v>0</v>
      </c>
      <c r="M38" s="4"/>
      <c r="N38" s="106"/>
      <c r="O38" s="91">
        <f t="shared" si="1"/>
        <v>0</v>
      </c>
      <c r="P38" s="4"/>
      <c r="Q38" s="4"/>
    </row>
    <row r="39" spans="1:17" x14ac:dyDescent="0.3">
      <c r="A39" s="4" t="s">
        <v>136</v>
      </c>
      <c r="B39" s="4" t="s">
        <v>137</v>
      </c>
      <c r="C39" s="38"/>
      <c r="D39" s="38">
        <v>0</v>
      </c>
      <c r="E39" s="38"/>
      <c r="F39" s="38">
        <v>0</v>
      </c>
      <c r="G39" s="4"/>
      <c r="H39" s="38">
        <v>0</v>
      </c>
      <c r="I39" s="4"/>
      <c r="J39" s="38">
        <f t="shared" si="2"/>
        <v>0</v>
      </c>
      <c r="K39" s="4"/>
      <c r="L39" s="38">
        <v>0</v>
      </c>
      <c r="M39" s="4"/>
      <c r="N39" s="106"/>
      <c r="O39" s="91">
        <f t="shared" si="1"/>
        <v>0</v>
      </c>
      <c r="P39" s="4"/>
      <c r="Q39" s="4"/>
    </row>
    <row r="40" spans="1:17" x14ac:dyDescent="0.3">
      <c r="A40" s="4" t="s">
        <v>138</v>
      </c>
      <c r="B40" s="4" t="s">
        <v>139</v>
      </c>
      <c r="C40" s="38"/>
      <c r="D40" s="38">
        <v>2491182.06</v>
      </c>
      <c r="E40" s="38"/>
      <c r="F40" s="38">
        <v>469539.31</v>
      </c>
      <c r="G40" s="4"/>
      <c r="H40" s="38">
        <v>1260801.94</v>
      </c>
      <c r="I40" s="4"/>
      <c r="J40" s="38">
        <f t="shared" si="2"/>
        <v>1407174.4366666668</v>
      </c>
      <c r="K40" s="4"/>
      <c r="L40" s="38">
        <v>3084195</v>
      </c>
      <c r="M40" s="4"/>
      <c r="N40" s="106">
        <f>3084200+1756420-30000+141595+3351</f>
        <v>4955566</v>
      </c>
      <c r="O40" s="91">
        <f t="shared" si="1"/>
        <v>1871371</v>
      </c>
      <c r="P40" s="4"/>
      <c r="Q40" s="4"/>
    </row>
    <row r="41" spans="1:17" x14ac:dyDescent="0.3">
      <c r="A41" s="4" t="s">
        <v>140</v>
      </c>
      <c r="B41" s="4" t="s">
        <v>141</v>
      </c>
      <c r="C41" s="38"/>
      <c r="D41" s="38">
        <v>0</v>
      </c>
      <c r="E41" s="38"/>
      <c r="F41" s="38">
        <v>0</v>
      </c>
      <c r="G41" s="4"/>
      <c r="H41" s="38">
        <v>0</v>
      </c>
      <c r="I41" s="4"/>
      <c r="J41" s="38">
        <f t="shared" si="2"/>
        <v>0</v>
      </c>
      <c r="K41" s="4"/>
      <c r="L41" s="38">
        <v>0</v>
      </c>
      <c r="M41" s="4"/>
      <c r="N41" s="106"/>
      <c r="O41" s="91">
        <f t="shared" si="1"/>
        <v>0</v>
      </c>
      <c r="P41" s="4"/>
      <c r="Q41" s="4"/>
    </row>
    <row r="42" spans="1:17" x14ac:dyDescent="0.3">
      <c r="A42" s="4" t="s">
        <v>142</v>
      </c>
      <c r="B42" s="4" t="s">
        <v>143</v>
      </c>
      <c r="C42" s="38"/>
      <c r="D42" s="148">
        <v>0</v>
      </c>
      <c r="E42" s="38"/>
      <c r="F42" s="148">
        <v>0</v>
      </c>
      <c r="G42" s="4"/>
      <c r="H42" s="148">
        <v>0</v>
      </c>
      <c r="I42" s="4"/>
      <c r="J42" s="148">
        <f t="shared" si="2"/>
        <v>0</v>
      </c>
      <c r="K42" s="4"/>
      <c r="L42" s="38">
        <v>0</v>
      </c>
      <c r="M42" s="4"/>
      <c r="N42" s="106"/>
      <c r="O42" s="91">
        <f t="shared" si="1"/>
        <v>0</v>
      </c>
      <c r="P42" s="4"/>
      <c r="Q42" s="4"/>
    </row>
    <row r="43" spans="1:17" ht="15" thickBot="1" x14ac:dyDescent="0.35">
      <c r="A43" s="4"/>
      <c r="B43" s="4"/>
      <c r="C43" s="38" t="s">
        <v>16</v>
      </c>
      <c r="D43" s="149">
        <f>SUM(D10:D42)</f>
        <v>8748651.5500000007</v>
      </c>
      <c r="E43" s="38" t="s">
        <v>16</v>
      </c>
      <c r="F43" s="149">
        <f>SUM(F10:F42)</f>
        <v>7703669.5499999998</v>
      </c>
      <c r="G43" s="38" t="s">
        <v>16</v>
      </c>
      <c r="H43" s="149">
        <f>SUM(H10:H42)</f>
        <v>9307351.5999999996</v>
      </c>
      <c r="I43" s="38" t="s">
        <v>16</v>
      </c>
      <c r="J43" s="149">
        <f>SUM(J10:J42)</f>
        <v>8586557.5666666683</v>
      </c>
      <c r="K43" s="38" t="s">
        <v>16</v>
      </c>
      <c r="L43" s="150">
        <f>SUM(L10:L42)</f>
        <v>11713433</v>
      </c>
      <c r="M43" s="38" t="s">
        <v>16</v>
      </c>
      <c r="N43" s="150">
        <f>SUM(N10:N42)</f>
        <v>15226219</v>
      </c>
      <c r="O43" s="151">
        <f t="shared" si="1"/>
        <v>3512786</v>
      </c>
      <c r="P43" s="4"/>
      <c r="Q43" s="4"/>
    </row>
    <row r="44" spans="1:17" ht="15" thickTop="1" x14ac:dyDescent="0.3">
      <c r="A44" s="4"/>
      <c r="B44" s="4"/>
      <c r="C44" s="4"/>
      <c r="D44" s="38"/>
      <c r="E44" s="38"/>
      <c r="F44" s="91"/>
      <c r="G44" s="38"/>
      <c r="H44" s="38"/>
      <c r="I44" s="4"/>
      <c r="J44" s="38"/>
      <c r="K44" s="4"/>
      <c r="L44" s="106"/>
      <c r="M44" s="4"/>
      <c r="N44" s="38"/>
      <c r="O44" s="4"/>
      <c r="P44" s="4"/>
      <c r="Q44" s="4"/>
    </row>
    <row r="45" spans="1:17" x14ac:dyDescent="0.3">
      <c r="A45" s="4"/>
      <c r="B45" s="4"/>
      <c r="C45" s="4"/>
      <c r="D45" s="38"/>
      <c r="E45" s="38"/>
      <c r="F45" s="91"/>
      <c r="G45" s="38"/>
      <c r="H45" s="38"/>
      <c r="I45" s="4"/>
      <c r="J45" s="38"/>
      <c r="K45" s="4"/>
      <c r="L45" s="106"/>
      <c r="M45" s="4"/>
      <c r="N45" s="38"/>
      <c r="O45" s="4"/>
      <c r="P45" s="4"/>
      <c r="Q45" s="4"/>
    </row>
    <row r="46" spans="1:17" x14ac:dyDescent="0.3">
      <c r="A46" s="4"/>
      <c r="B46" s="4"/>
      <c r="C46" s="4"/>
      <c r="D46" s="38"/>
      <c r="E46" s="38"/>
      <c r="F46" s="91"/>
      <c r="G46" s="38"/>
      <c r="H46" s="38"/>
      <c r="I46" s="4"/>
      <c r="J46" s="38"/>
      <c r="K46" s="4"/>
      <c r="L46" s="106"/>
      <c r="M46" s="4"/>
      <c r="N46" s="38"/>
      <c r="O46" s="4"/>
      <c r="P46" s="4"/>
      <c r="Q46" s="4"/>
    </row>
    <row r="47" spans="1:17" x14ac:dyDescent="0.3">
      <c r="A47" s="4"/>
      <c r="B47" s="4"/>
      <c r="C47" s="4"/>
      <c r="D47" s="38"/>
      <c r="E47" s="38"/>
      <c r="F47" s="91"/>
      <c r="G47" s="38"/>
      <c r="H47" s="38"/>
      <c r="I47" s="4"/>
      <c r="J47" s="38"/>
      <c r="K47" s="4"/>
      <c r="L47" s="106"/>
      <c r="M47" s="4"/>
      <c r="N47" s="38"/>
      <c r="O47" s="4"/>
      <c r="P47" s="4"/>
      <c r="Q47" s="4"/>
    </row>
    <row r="48" spans="1:17" x14ac:dyDescent="0.3">
      <c r="A48" s="4"/>
      <c r="B48" s="4"/>
      <c r="C48" s="4"/>
      <c r="D48" s="38"/>
      <c r="E48" s="38"/>
      <c r="F48" s="91"/>
      <c r="G48" s="38"/>
      <c r="H48" s="38"/>
      <c r="I48" s="4"/>
      <c r="J48" s="38"/>
      <c r="K48" s="4"/>
      <c r="L48" s="106"/>
      <c r="M48" s="4"/>
      <c r="N48" s="38"/>
      <c r="O48" s="4"/>
      <c r="P48" s="4"/>
      <c r="Q48" s="4"/>
    </row>
    <row r="49" spans="1:17" x14ac:dyDescent="0.3">
      <c r="A49" s="4"/>
      <c r="B49" s="4"/>
      <c r="C49" s="4"/>
      <c r="D49" s="38"/>
      <c r="E49" s="38"/>
      <c r="F49" s="91"/>
      <c r="G49" s="38"/>
      <c r="H49" s="38"/>
      <c r="I49" s="4"/>
      <c r="J49" s="38"/>
      <c r="K49" s="4"/>
      <c r="L49" s="106"/>
      <c r="M49" s="4"/>
      <c r="N49" s="38"/>
      <c r="O49" s="4"/>
      <c r="P49" s="4"/>
      <c r="Q49" s="4"/>
    </row>
    <row r="50" spans="1:17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</sheetData>
  <mergeCells count="3">
    <mergeCell ref="A1:O1"/>
    <mergeCell ref="A2:O2"/>
    <mergeCell ref="A3:O3"/>
  </mergeCells>
  <pageMargins left="0.25" right="0.25" top="0.5" bottom="0.5" header="0" footer="0"/>
  <pageSetup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25"/>
  <sheetViews>
    <sheetView zoomScaleNormal="100" workbookViewId="0">
      <pane ySplit="8" topLeftCell="A47" activePane="bottomLeft" state="frozen"/>
      <selection activeCell="N17" sqref="N17"/>
      <selection pane="bottomLeft" activeCell="F222" sqref="F222"/>
    </sheetView>
  </sheetViews>
  <sheetFormatPr defaultColWidth="8.6640625" defaultRowHeight="14.4" x14ac:dyDescent="0.3"/>
  <cols>
    <col min="1" max="1" width="14.6640625" customWidth="1"/>
    <col min="2" max="2" width="31.44140625" customWidth="1"/>
    <col min="3" max="3" width="1.6640625" customWidth="1"/>
    <col min="4" max="4" width="14.109375" customWidth="1"/>
    <col min="5" max="5" width="1.6640625" customWidth="1"/>
    <col min="6" max="6" width="12.88671875" customWidth="1"/>
    <col min="7" max="7" width="1.6640625" customWidth="1"/>
    <col min="8" max="8" width="13.44140625" bestFit="1" customWidth="1"/>
    <col min="9" max="9" width="1.6640625" customWidth="1"/>
    <col min="10" max="10" width="13.6640625" customWidth="1"/>
    <col min="11" max="11" width="1.6640625" customWidth="1"/>
    <col min="12" max="12" width="14.109375" customWidth="1"/>
    <col min="13" max="13" width="1.6640625" customWidth="1"/>
    <col min="14" max="14" width="12.5546875" customWidth="1"/>
    <col min="15" max="15" width="11.33203125" bestFit="1" customWidth="1"/>
    <col min="16" max="16" width="21.6640625" customWidth="1"/>
  </cols>
  <sheetData>
    <row r="1" spans="1:16" ht="17.399999999999999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4"/>
    </row>
    <row r="2" spans="1:16" ht="15.6" x14ac:dyDescent="0.3">
      <c r="A2" s="172" t="s">
        <v>523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4"/>
    </row>
    <row r="3" spans="1:16" ht="15.75" customHeight="1" x14ac:dyDescent="0.3">
      <c r="A3" s="172" t="s">
        <v>691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4"/>
    </row>
    <row r="4" spans="1:16" ht="15.6" x14ac:dyDescent="0.3">
      <c r="A4" s="145"/>
      <c r="B4" s="145"/>
      <c r="C4" s="4"/>
      <c r="D4" s="4"/>
      <c r="E4" s="4"/>
      <c r="F4" s="106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6.2" thickBot="1" x14ac:dyDescent="0.35">
      <c r="A5" s="145"/>
      <c r="B5" s="145"/>
      <c r="C5" s="4"/>
      <c r="D5" s="4"/>
      <c r="E5" s="4"/>
      <c r="F5" s="53"/>
      <c r="G5" s="146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18"/>
      <c r="B6" s="19"/>
      <c r="C6" s="19"/>
      <c r="D6" s="11">
        <v>2019</v>
      </c>
      <c r="E6" s="19"/>
      <c r="F6" s="11">
        <v>2020</v>
      </c>
      <c r="G6" s="19"/>
      <c r="H6" s="11">
        <v>2021</v>
      </c>
      <c r="I6" s="19"/>
      <c r="J6" s="11" t="s">
        <v>85</v>
      </c>
      <c r="K6" s="11"/>
      <c r="L6" s="11">
        <v>2022</v>
      </c>
      <c r="M6" s="11"/>
      <c r="N6" s="11">
        <v>2023</v>
      </c>
      <c r="O6" s="8" t="s">
        <v>500</v>
      </c>
      <c r="P6" s="4"/>
    </row>
    <row r="7" spans="1:16" x14ac:dyDescent="0.3">
      <c r="A7" s="23" t="s">
        <v>11</v>
      </c>
      <c r="B7" s="7" t="s">
        <v>11</v>
      </c>
      <c r="C7" s="7"/>
      <c r="D7" s="7" t="s">
        <v>86</v>
      </c>
      <c r="E7" s="7"/>
      <c r="F7" s="7" t="s">
        <v>86</v>
      </c>
      <c r="G7" s="32"/>
      <c r="H7" s="7" t="s">
        <v>86</v>
      </c>
      <c r="I7" s="4"/>
      <c r="J7" s="7" t="s">
        <v>87</v>
      </c>
      <c r="K7" s="7"/>
      <c r="L7" s="7" t="s">
        <v>88</v>
      </c>
      <c r="M7" s="4"/>
      <c r="N7" s="7" t="s">
        <v>3</v>
      </c>
      <c r="O7" s="9" t="s">
        <v>566</v>
      </c>
      <c r="P7" s="4"/>
    </row>
    <row r="8" spans="1:16" ht="15" thickBot="1" x14ac:dyDescent="0.35">
      <c r="A8" s="26" t="s">
        <v>7</v>
      </c>
      <c r="B8" s="27" t="s">
        <v>8</v>
      </c>
      <c r="C8" s="27"/>
      <c r="D8" s="27" t="s">
        <v>9</v>
      </c>
      <c r="E8" s="27"/>
      <c r="F8" s="27" t="s">
        <v>9</v>
      </c>
      <c r="G8" s="147"/>
      <c r="H8" s="27" t="s">
        <v>9</v>
      </c>
      <c r="I8" s="60"/>
      <c r="J8" s="27" t="s">
        <v>89</v>
      </c>
      <c r="K8" s="27"/>
      <c r="L8" s="27" t="s">
        <v>11</v>
      </c>
      <c r="M8" s="60"/>
      <c r="N8" s="27" t="s">
        <v>9</v>
      </c>
      <c r="O8" s="29" t="s">
        <v>673</v>
      </c>
      <c r="P8" s="4"/>
    </row>
    <row r="9" spans="1:1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 t="s">
        <v>144</v>
      </c>
      <c r="B10" s="4" t="s">
        <v>145</v>
      </c>
      <c r="C10" s="4" t="s">
        <v>16</v>
      </c>
      <c r="D10" s="106">
        <v>22680878.899999999</v>
      </c>
      <c r="E10" s="106" t="s">
        <v>16</v>
      </c>
      <c r="F10" s="106">
        <v>25446451.699999999</v>
      </c>
      <c r="G10" s="106" t="s">
        <v>16</v>
      </c>
      <c r="H10" s="106">
        <v>27817371.52</v>
      </c>
      <c r="I10" s="106" t="s">
        <v>16</v>
      </c>
      <c r="J10" s="106">
        <f>(+D10+F10+H10)/3</f>
        <v>25314900.706666663</v>
      </c>
      <c r="K10" s="106" t="s">
        <v>16</v>
      </c>
      <c r="L10" s="106">
        <v>31696957</v>
      </c>
      <c r="M10" s="106" t="s">
        <v>16</v>
      </c>
      <c r="N10" s="106">
        <v>35112100</v>
      </c>
      <c r="O10" s="106">
        <f>+N10-L10</f>
        <v>3415143</v>
      </c>
      <c r="P10" s="4"/>
    </row>
    <row r="11" spans="1:16" hidden="1" x14ac:dyDescent="0.3">
      <c r="A11" s="4" t="s">
        <v>144</v>
      </c>
      <c r="B11" s="4" t="s">
        <v>567</v>
      </c>
      <c r="C11" s="4"/>
      <c r="D11" s="106">
        <v>0</v>
      </c>
      <c r="E11" s="106"/>
      <c r="F11" s="106">
        <v>0</v>
      </c>
      <c r="G11" s="106"/>
      <c r="H11" s="106">
        <v>0</v>
      </c>
      <c r="I11" s="106"/>
      <c r="J11" s="106">
        <f>(+D11+F11+H11)/3</f>
        <v>0</v>
      </c>
      <c r="K11" s="106"/>
      <c r="L11" s="106">
        <v>0</v>
      </c>
      <c r="M11" s="106"/>
      <c r="N11" s="106"/>
      <c r="O11" s="106">
        <f>+N11-L11</f>
        <v>0</v>
      </c>
      <c r="P11" s="4"/>
    </row>
    <row r="12" spans="1:16" x14ac:dyDescent="0.3">
      <c r="A12" s="4" t="s">
        <v>146</v>
      </c>
      <c r="B12" s="4" t="s">
        <v>95</v>
      </c>
      <c r="C12" s="4"/>
      <c r="D12" s="106">
        <v>795778.43</v>
      </c>
      <c r="E12" s="106"/>
      <c r="F12" s="106">
        <v>627250.32999999996</v>
      </c>
      <c r="G12" s="106"/>
      <c r="H12" s="106">
        <v>783841.03</v>
      </c>
      <c r="I12" s="106"/>
      <c r="J12" s="106">
        <f t="shared" ref="J12:J86" si="0">(+D12+F12+H12)/3</f>
        <v>735623.26333333331</v>
      </c>
      <c r="K12" s="106"/>
      <c r="L12" s="106">
        <v>699507</v>
      </c>
      <c r="M12" s="106"/>
      <c r="N12" s="106">
        <v>735600</v>
      </c>
      <c r="O12" s="106">
        <f t="shared" ref="O12:O82" si="1">+N12-L12</f>
        <v>36093</v>
      </c>
      <c r="P12" s="4"/>
    </row>
    <row r="13" spans="1:16" x14ac:dyDescent="0.3">
      <c r="A13" s="4" t="s">
        <v>147</v>
      </c>
      <c r="B13" s="4" t="s">
        <v>148</v>
      </c>
      <c r="C13" s="4"/>
      <c r="D13" s="106">
        <v>0</v>
      </c>
      <c r="E13" s="106"/>
      <c r="F13" s="106">
        <v>0</v>
      </c>
      <c r="G13" s="106"/>
      <c r="H13" s="106">
        <v>0</v>
      </c>
      <c r="I13" s="106"/>
      <c r="J13" s="106">
        <f t="shared" si="0"/>
        <v>0</v>
      </c>
      <c r="K13" s="106"/>
      <c r="L13" s="106">
        <f t="shared" ref="L13:L61" si="2">+H13</f>
        <v>0</v>
      </c>
      <c r="M13" s="106"/>
      <c r="N13" s="106"/>
      <c r="O13" s="106">
        <f t="shared" si="1"/>
        <v>0</v>
      </c>
      <c r="P13" s="4"/>
    </row>
    <row r="14" spans="1:16" x14ac:dyDescent="0.3">
      <c r="A14" s="4" t="s">
        <v>149</v>
      </c>
      <c r="B14" s="4" t="s">
        <v>150</v>
      </c>
      <c r="C14" s="4"/>
      <c r="D14" s="106">
        <v>31688.83</v>
      </c>
      <c r="E14" s="106"/>
      <c r="F14" s="106">
        <v>39807.730000000003</v>
      </c>
      <c r="G14" s="106"/>
      <c r="H14" s="106">
        <v>66897.83</v>
      </c>
      <c r="I14" s="106"/>
      <c r="J14" s="106">
        <f t="shared" si="0"/>
        <v>46131.46333333334</v>
      </c>
      <c r="K14" s="106"/>
      <c r="L14" s="106">
        <v>32934</v>
      </c>
      <c r="M14" s="106"/>
      <c r="N14" s="106">
        <v>46100</v>
      </c>
      <c r="O14" s="106">
        <f t="shared" si="1"/>
        <v>13166</v>
      </c>
      <c r="P14" s="4"/>
    </row>
    <row r="15" spans="1:16" x14ac:dyDescent="0.3">
      <c r="A15" s="4" t="s">
        <v>151</v>
      </c>
      <c r="B15" s="4" t="s">
        <v>152</v>
      </c>
      <c r="C15" s="4"/>
      <c r="D15" s="106">
        <v>442927.71</v>
      </c>
      <c r="E15" s="106"/>
      <c r="F15" s="106">
        <v>379912.37</v>
      </c>
      <c r="G15" s="106"/>
      <c r="H15" s="106">
        <v>536734.14</v>
      </c>
      <c r="I15" s="106"/>
      <c r="J15" s="106">
        <f t="shared" si="0"/>
        <v>453191.40666666673</v>
      </c>
      <c r="K15" s="106"/>
      <c r="L15" s="106">
        <v>416188</v>
      </c>
      <c r="M15" s="106"/>
      <c r="N15" s="106">
        <v>453200</v>
      </c>
      <c r="O15" s="106">
        <f t="shared" si="1"/>
        <v>37012</v>
      </c>
      <c r="P15" s="4"/>
    </row>
    <row r="16" spans="1:16" x14ac:dyDescent="0.3">
      <c r="A16" s="4" t="s">
        <v>582</v>
      </c>
      <c r="B16" s="4" t="s">
        <v>583</v>
      </c>
      <c r="C16" s="4"/>
      <c r="D16" s="106">
        <v>0</v>
      </c>
      <c r="E16" s="106"/>
      <c r="F16" s="106">
        <v>2000</v>
      </c>
      <c r="G16" s="106"/>
      <c r="H16" s="106">
        <v>5000</v>
      </c>
      <c r="I16" s="106"/>
      <c r="J16" s="106">
        <f t="shared" si="0"/>
        <v>2333.3333333333335</v>
      </c>
      <c r="K16" s="106"/>
      <c r="L16" s="106">
        <v>667</v>
      </c>
      <c r="M16" s="106"/>
      <c r="N16" s="106">
        <v>2300</v>
      </c>
      <c r="O16" s="106">
        <f t="shared" si="1"/>
        <v>1633</v>
      </c>
      <c r="P16" s="4"/>
    </row>
    <row r="17" spans="1:16" x14ac:dyDescent="0.3">
      <c r="A17" s="4" t="s">
        <v>584</v>
      </c>
      <c r="B17" s="4" t="s">
        <v>585</v>
      </c>
      <c r="C17" s="4"/>
      <c r="D17" s="106">
        <v>0</v>
      </c>
      <c r="E17" s="106"/>
      <c r="F17" s="106">
        <v>637.57000000000005</v>
      </c>
      <c r="G17" s="106"/>
      <c r="H17" s="106">
        <v>1439.8</v>
      </c>
      <c r="I17" s="106"/>
      <c r="J17" s="106">
        <f t="shared" si="0"/>
        <v>692.45666666666659</v>
      </c>
      <c r="K17" s="106"/>
      <c r="L17" s="106">
        <v>213</v>
      </c>
      <c r="M17" s="106"/>
      <c r="N17" s="106">
        <v>700</v>
      </c>
      <c r="O17" s="106">
        <f t="shared" si="1"/>
        <v>487</v>
      </c>
      <c r="P17" s="4"/>
    </row>
    <row r="18" spans="1:16" x14ac:dyDescent="0.3">
      <c r="A18" s="4" t="s">
        <v>153</v>
      </c>
      <c r="B18" s="4" t="s">
        <v>154</v>
      </c>
      <c r="C18" s="4"/>
      <c r="D18" s="106">
        <v>44330</v>
      </c>
      <c r="E18" s="106"/>
      <c r="F18" s="106">
        <v>44450</v>
      </c>
      <c r="G18" s="106"/>
      <c r="H18" s="106">
        <v>48250</v>
      </c>
      <c r="I18" s="106"/>
      <c r="J18" s="106">
        <f t="shared" si="0"/>
        <v>45676.666666666664</v>
      </c>
      <c r="K18" s="106"/>
      <c r="L18" s="106">
        <v>43150</v>
      </c>
      <c r="M18" s="106"/>
      <c r="N18" s="106">
        <v>45700</v>
      </c>
      <c r="O18" s="106">
        <f t="shared" si="1"/>
        <v>2550</v>
      </c>
      <c r="P18" s="4"/>
    </row>
    <row r="19" spans="1:16" x14ac:dyDescent="0.3">
      <c r="A19" s="4" t="s">
        <v>155</v>
      </c>
      <c r="B19" s="4" t="s">
        <v>156</v>
      </c>
      <c r="C19" s="4"/>
      <c r="D19" s="106">
        <v>113758.68</v>
      </c>
      <c r="E19" s="106"/>
      <c r="F19" s="106">
        <v>104980.4</v>
      </c>
      <c r="G19" s="106"/>
      <c r="H19" s="106">
        <v>104988.1</v>
      </c>
      <c r="I19" s="106"/>
      <c r="J19" s="106">
        <f t="shared" si="0"/>
        <v>107909.06</v>
      </c>
      <c r="K19" s="106"/>
      <c r="L19" s="106">
        <v>111057</v>
      </c>
      <c r="M19" s="106"/>
      <c r="N19" s="106">
        <v>107900</v>
      </c>
      <c r="O19" s="106">
        <f t="shared" si="1"/>
        <v>-3157</v>
      </c>
      <c r="P19" s="4"/>
    </row>
    <row r="20" spans="1:16" x14ac:dyDescent="0.3">
      <c r="A20" s="4" t="s">
        <v>157</v>
      </c>
      <c r="B20" s="4" t="s">
        <v>158</v>
      </c>
      <c r="C20" s="4"/>
      <c r="D20" s="106">
        <v>1598.4</v>
      </c>
      <c r="E20" s="106"/>
      <c r="F20" s="106">
        <v>8658.6</v>
      </c>
      <c r="G20" s="106"/>
      <c r="H20" s="106">
        <v>6859.9</v>
      </c>
      <c r="I20" s="106"/>
      <c r="J20" s="106">
        <f t="shared" si="0"/>
        <v>5705.6333333333341</v>
      </c>
      <c r="K20" s="106"/>
      <c r="L20" s="106">
        <v>3951</v>
      </c>
      <c r="M20" s="106"/>
      <c r="N20" s="106">
        <v>5700</v>
      </c>
      <c r="O20" s="106">
        <f t="shared" si="1"/>
        <v>1749</v>
      </c>
      <c r="P20" s="4"/>
    </row>
    <row r="21" spans="1:16" x14ac:dyDescent="0.3">
      <c r="A21" s="4" t="s">
        <v>159</v>
      </c>
      <c r="B21" s="4" t="s">
        <v>160</v>
      </c>
      <c r="C21" s="4"/>
      <c r="D21" s="106">
        <v>290</v>
      </c>
      <c r="E21" s="106"/>
      <c r="F21" s="106">
        <v>0</v>
      </c>
      <c r="G21" s="106"/>
      <c r="H21" s="106">
        <v>0</v>
      </c>
      <c r="I21" s="106"/>
      <c r="J21" s="106">
        <f t="shared" si="0"/>
        <v>96.666666666666671</v>
      </c>
      <c r="K21" s="106"/>
      <c r="L21" s="106">
        <v>97</v>
      </c>
      <c r="M21" s="106"/>
      <c r="N21" s="106"/>
      <c r="O21" s="106">
        <f t="shared" si="1"/>
        <v>-97</v>
      </c>
      <c r="P21" s="4"/>
    </row>
    <row r="22" spans="1:16" x14ac:dyDescent="0.3">
      <c r="A22" s="4" t="s">
        <v>161</v>
      </c>
      <c r="B22" s="4" t="s">
        <v>162</v>
      </c>
      <c r="C22" s="4"/>
      <c r="D22" s="106">
        <v>1148.74</v>
      </c>
      <c r="E22" s="106"/>
      <c r="F22" s="106">
        <v>390.88</v>
      </c>
      <c r="G22" s="106"/>
      <c r="H22" s="106">
        <v>152.57</v>
      </c>
      <c r="I22" s="106"/>
      <c r="J22" s="106">
        <f t="shared" si="0"/>
        <v>564.06333333333328</v>
      </c>
      <c r="K22" s="106"/>
      <c r="L22" s="106">
        <v>900</v>
      </c>
      <c r="M22" s="106"/>
      <c r="N22" s="106">
        <v>600</v>
      </c>
      <c r="O22" s="106">
        <f t="shared" si="1"/>
        <v>-300</v>
      </c>
      <c r="P22" s="4"/>
    </row>
    <row r="23" spans="1:16" x14ac:dyDescent="0.3">
      <c r="A23" s="4" t="s">
        <v>163</v>
      </c>
      <c r="B23" s="4" t="s">
        <v>164</v>
      </c>
      <c r="C23" s="4"/>
      <c r="D23" s="106">
        <v>0</v>
      </c>
      <c r="E23" s="106"/>
      <c r="F23" s="106">
        <v>0</v>
      </c>
      <c r="G23" s="106"/>
      <c r="H23" s="106">
        <v>0</v>
      </c>
      <c r="I23" s="106"/>
      <c r="J23" s="106">
        <f t="shared" si="0"/>
        <v>0</v>
      </c>
      <c r="K23" s="106"/>
      <c r="L23" s="106">
        <f t="shared" si="2"/>
        <v>0</v>
      </c>
      <c r="M23" s="106"/>
      <c r="N23" s="106"/>
      <c r="O23" s="106">
        <f t="shared" si="1"/>
        <v>0</v>
      </c>
      <c r="P23" s="4"/>
    </row>
    <row r="24" spans="1:16" x14ac:dyDescent="0.3">
      <c r="A24" s="4" t="s">
        <v>165</v>
      </c>
      <c r="B24" s="4" t="s">
        <v>166</v>
      </c>
      <c r="C24" s="4"/>
      <c r="D24" s="106">
        <v>0</v>
      </c>
      <c r="E24" s="106"/>
      <c r="F24" s="106">
        <v>0</v>
      </c>
      <c r="G24" s="106"/>
      <c r="H24" s="106">
        <v>0</v>
      </c>
      <c r="I24" s="106"/>
      <c r="J24" s="106">
        <f t="shared" si="0"/>
        <v>0</v>
      </c>
      <c r="K24" s="106"/>
      <c r="L24" s="106">
        <f t="shared" si="2"/>
        <v>0</v>
      </c>
      <c r="M24" s="106"/>
      <c r="N24" s="106"/>
      <c r="O24" s="106">
        <f t="shared" si="1"/>
        <v>0</v>
      </c>
      <c r="P24" s="4"/>
    </row>
    <row r="25" spans="1:16" x14ac:dyDescent="0.3">
      <c r="A25" s="4" t="s">
        <v>167</v>
      </c>
      <c r="B25" s="4" t="s">
        <v>168</v>
      </c>
      <c r="C25" s="4"/>
      <c r="D25" s="106">
        <v>3947.9</v>
      </c>
      <c r="E25" s="106"/>
      <c r="F25" s="106">
        <v>0.1</v>
      </c>
      <c r="G25" s="106"/>
      <c r="H25" s="106">
        <v>1.34</v>
      </c>
      <c r="I25" s="106"/>
      <c r="J25" s="106">
        <f t="shared" si="0"/>
        <v>1316.4466666666667</v>
      </c>
      <c r="K25" s="106"/>
      <c r="L25" s="106">
        <v>3665</v>
      </c>
      <c r="M25" s="106"/>
      <c r="N25" s="106">
        <v>1300</v>
      </c>
      <c r="O25" s="106">
        <f t="shared" si="1"/>
        <v>-2365</v>
      </c>
      <c r="P25" s="4"/>
    </row>
    <row r="26" spans="1:16" x14ac:dyDescent="0.3">
      <c r="A26" s="4" t="s">
        <v>169</v>
      </c>
      <c r="B26" s="4" t="s">
        <v>170</v>
      </c>
      <c r="C26" s="4"/>
      <c r="D26" s="106">
        <v>0</v>
      </c>
      <c r="E26" s="106"/>
      <c r="F26" s="106">
        <v>0.1</v>
      </c>
      <c r="G26" s="106"/>
      <c r="H26" s="106">
        <v>0.1</v>
      </c>
      <c r="I26" s="106"/>
      <c r="J26" s="106">
        <f t="shared" si="0"/>
        <v>6.6666666666666666E-2</v>
      </c>
      <c r="K26" s="106"/>
      <c r="L26" s="106">
        <f t="shared" si="2"/>
        <v>0.1</v>
      </c>
      <c r="M26" s="106"/>
      <c r="N26" s="106"/>
      <c r="O26" s="106">
        <f t="shared" si="1"/>
        <v>-0.1</v>
      </c>
      <c r="P26" s="4"/>
    </row>
    <row r="27" spans="1:16" x14ac:dyDescent="0.3">
      <c r="A27" s="4" t="s">
        <v>171</v>
      </c>
      <c r="B27" s="4" t="s">
        <v>172</v>
      </c>
      <c r="C27" s="4"/>
      <c r="D27" s="106">
        <v>74.83</v>
      </c>
      <c r="E27" s="106"/>
      <c r="F27" s="106">
        <v>38.549999999999997</v>
      </c>
      <c r="G27" s="106"/>
      <c r="H27" s="106">
        <v>50.96</v>
      </c>
      <c r="I27" s="106"/>
      <c r="J27" s="106">
        <f t="shared" si="0"/>
        <v>54.78</v>
      </c>
      <c r="K27" s="106"/>
      <c r="L27" s="106">
        <v>75</v>
      </c>
      <c r="M27" s="106"/>
      <c r="N27" s="106"/>
      <c r="O27" s="106">
        <f t="shared" si="1"/>
        <v>-75</v>
      </c>
      <c r="P27" s="4"/>
    </row>
    <row r="28" spans="1:16" x14ac:dyDescent="0.3">
      <c r="A28" s="4" t="s">
        <v>530</v>
      </c>
      <c r="B28" s="4" t="s">
        <v>173</v>
      </c>
      <c r="C28" s="4"/>
      <c r="D28" s="106">
        <v>0</v>
      </c>
      <c r="E28" s="106"/>
      <c r="F28" s="106">
        <v>5</v>
      </c>
      <c r="G28" s="106"/>
      <c r="H28" s="106">
        <v>0</v>
      </c>
      <c r="I28" s="106"/>
      <c r="J28" s="106">
        <f t="shared" si="0"/>
        <v>1.6666666666666667</v>
      </c>
      <c r="K28" s="106"/>
      <c r="L28" s="106">
        <v>2</v>
      </c>
      <c r="M28" s="106"/>
      <c r="N28" s="106"/>
      <c r="O28" s="106">
        <f t="shared" si="1"/>
        <v>-2</v>
      </c>
      <c r="P28" s="4"/>
    </row>
    <row r="29" spans="1:16" x14ac:dyDescent="0.3">
      <c r="A29" s="4" t="s">
        <v>531</v>
      </c>
      <c r="B29" s="4" t="s">
        <v>174</v>
      </c>
      <c r="C29" s="4"/>
      <c r="D29" s="106">
        <v>4.58</v>
      </c>
      <c r="E29" s="106"/>
      <c r="F29" s="106">
        <v>3.03</v>
      </c>
      <c r="G29" s="106"/>
      <c r="H29" s="106">
        <v>3.98</v>
      </c>
      <c r="I29" s="106"/>
      <c r="J29" s="106">
        <f t="shared" si="0"/>
        <v>3.8633333333333333</v>
      </c>
      <c r="K29" s="106"/>
      <c r="L29" s="106">
        <v>5</v>
      </c>
      <c r="M29" s="106"/>
      <c r="N29" s="106"/>
      <c r="O29" s="106">
        <f t="shared" si="1"/>
        <v>-5</v>
      </c>
      <c r="P29" s="4"/>
    </row>
    <row r="30" spans="1:16" x14ac:dyDescent="0.3">
      <c r="A30" s="4" t="s">
        <v>175</v>
      </c>
      <c r="B30" s="4" t="s">
        <v>176</v>
      </c>
      <c r="C30" s="4"/>
      <c r="D30" s="106">
        <v>2190</v>
      </c>
      <c r="E30" s="106"/>
      <c r="F30" s="106">
        <v>2385</v>
      </c>
      <c r="G30" s="106"/>
      <c r="H30" s="106">
        <v>2365</v>
      </c>
      <c r="I30" s="106"/>
      <c r="J30" s="106">
        <f t="shared" si="0"/>
        <v>2313.3333333333335</v>
      </c>
      <c r="K30" s="106"/>
      <c r="L30" s="106">
        <v>2257</v>
      </c>
      <c r="M30" s="106"/>
      <c r="N30" s="106">
        <v>2300</v>
      </c>
      <c r="O30" s="106">
        <f t="shared" si="1"/>
        <v>43</v>
      </c>
      <c r="P30" s="4"/>
    </row>
    <row r="31" spans="1:16" x14ac:dyDescent="0.3">
      <c r="A31" s="4" t="s">
        <v>177</v>
      </c>
      <c r="B31" s="4" t="s">
        <v>178</v>
      </c>
      <c r="C31" s="4"/>
      <c r="D31" s="106">
        <v>17699.400000000001</v>
      </c>
      <c r="E31" s="106"/>
      <c r="F31" s="106">
        <v>11602.34</v>
      </c>
      <c r="G31" s="106"/>
      <c r="H31" s="106">
        <v>12382.32</v>
      </c>
      <c r="I31" s="106"/>
      <c r="J31" s="106">
        <f t="shared" si="0"/>
        <v>13894.686666666666</v>
      </c>
      <c r="K31" s="106"/>
      <c r="L31" s="106">
        <v>15532</v>
      </c>
      <c r="M31" s="106"/>
      <c r="N31" s="106">
        <v>14000</v>
      </c>
      <c r="O31" s="106">
        <f t="shared" si="1"/>
        <v>-1532</v>
      </c>
      <c r="P31" s="4"/>
    </row>
    <row r="32" spans="1:16" x14ac:dyDescent="0.3">
      <c r="A32" s="4" t="s">
        <v>179</v>
      </c>
      <c r="B32" s="4" t="s">
        <v>180</v>
      </c>
      <c r="C32" s="4"/>
      <c r="D32" s="106">
        <v>9.98</v>
      </c>
      <c r="E32" s="106"/>
      <c r="F32" s="106">
        <v>7.62</v>
      </c>
      <c r="G32" s="106"/>
      <c r="H32" s="106">
        <v>9.9499999999999993</v>
      </c>
      <c r="I32" s="106"/>
      <c r="J32" s="106">
        <f t="shared" si="0"/>
        <v>9.1833333333333336</v>
      </c>
      <c r="K32" s="106"/>
      <c r="L32" s="106">
        <v>12</v>
      </c>
      <c r="M32" s="106"/>
      <c r="N32" s="106"/>
      <c r="O32" s="106">
        <f t="shared" si="1"/>
        <v>-12</v>
      </c>
      <c r="P32" s="4"/>
    </row>
    <row r="33" spans="1:16" x14ac:dyDescent="0.3">
      <c r="A33" s="4" t="s">
        <v>181</v>
      </c>
      <c r="B33" s="4" t="s">
        <v>182</v>
      </c>
      <c r="C33" s="4"/>
      <c r="D33" s="106">
        <v>30013.08</v>
      </c>
      <c r="E33" s="106"/>
      <c r="F33" s="106">
        <v>24253.9</v>
      </c>
      <c r="G33" s="106"/>
      <c r="H33" s="106">
        <v>26727.15</v>
      </c>
      <c r="I33" s="106"/>
      <c r="J33" s="106">
        <f t="shared" si="0"/>
        <v>26998.043333333335</v>
      </c>
      <c r="K33" s="106"/>
      <c r="L33" s="106">
        <v>27573</v>
      </c>
      <c r="M33" s="106"/>
      <c r="N33" s="106">
        <v>27000</v>
      </c>
      <c r="O33" s="106">
        <f t="shared" si="1"/>
        <v>-573</v>
      </c>
      <c r="P33" s="4"/>
    </row>
    <row r="34" spans="1:16" x14ac:dyDescent="0.3">
      <c r="A34" s="4" t="s">
        <v>183</v>
      </c>
      <c r="B34" s="4" t="s">
        <v>184</v>
      </c>
      <c r="C34" s="4"/>
      <c r="D34" s="106">
        <v>1.1100000000000001</v>
      </c>
      <c r="E34" s="106"/>
      <c r="F34" s="106">
        <v>0.64</v>
      </c>
      <c r="G34" s="106"/>
      <c r="H34" s="106">
        <v>1</v>
      </c>
      <c r="I34" s="106"/>
      <c r="J34" s="106">
        <f t="shared" si="0"/>
        <v>0.91666666666666663</v>
      </c>
      <c r="K34" s="106"/>
      <c r="L34" s="106">
        <v>1</v>
      </c>
      <c r="M34" s="106"/>
      <c r="N34" s="106"/>
      <c r="O34" s="106">
        <f t="shared" si="1"/>
        <v>-1</v>
      </c>
      <c r="P34" s="4"/>
    </row>
    <row r="35" spans="1:16" x14ac:dyDescent="0.3">
      <c r="A35" s="4" t="s">
        <v>185</v>
      </c>
      <c r="B35" s="4" t="s">
        <v>186</v>
      </c>
      <c r="C35" s="4"/>
      <c r="D35" s="106">
        <v>2755.2</v>
      </c>
      <c r="E35" s="106"/>
      <c r="F35" s="106">
        <v>4753.24</v>
      </c>
      <c r="G35" s="106"/>
      <c r="H35" s="106">
        <v>5133.8</v>
      </c>
      <c r="I35" s="106"/>
      <c r="J35" s="106">
        <f t="shared" si="0"/>
        <v>4214.08</v>
      </c>
      <c r="K35" s="106"/>
      <c r="L35" s="106">
        <v>2764</v>
      </c>
      <c r="M35" s="106"/>
      <c r="N35" s="106">
        <v>4200</v>
      </c>
      <c r="O35" s="106">
        <f t="shared" si="1"/>
        <v>1436</v>
      </c>
      <c r="P35" s="4"/>
    </row>
    <row r="36" spans="1:16" x14ac:dyDescent="0.3">
      <c r="A36" s="4" t="s">
        <v>187</v>
      </c>
      <c r="B36" s="4" t="s">
        <v>188</v>
      </c>
      <c r="C36" s="4"/>
      <c r="D36" s="106">
        <v>114.18</v>
      </c>
      <c r="E36" s="106"/>
      <c r="F36" s="106">
        <v>28.3</v>
      </c>
      <c r="G36" s="106"/>
      <c r="H36" s="106">
        <v>60.66</v>
      </c>
      <c r="I36" s="106"/>
      <c r="J36" s="106">
        <f t="shared" si="0"/>
        <v>67.713333333333338</v>
      </c>
      <c r="K36" s="106"/>
      <c r="L36" s="106">
        <v>58</v>
      </c>
      <c r="M36" s="106"/>
      <c r="N36" s="106"/>
      <c r="O36" s="106">
        <f t="shared" si="1"/>
        <v>-58</v>
      </c>
      <c r="P36" s="4"/>
    </row>
    <row r="37" spans="1:16" x14ac:dyDescent="0.3">
      <c r="A37" s="4" t="s">
        <v>189</v>
      </c>
      <c r="B37" s="4" t="s">
        <v>190</v>
      </c>
      <c r="C37" s="4"/>
      <c r="D37" s="106">
        <v>1</v>
      </c>
      <c r="E37" s="106"/>
      <c r="F37" s="106">
        <v>0.53</v>
      </c>
      <c r="G37" s="106"/>
      <c r="H37" s="106">
        <v>0.93</v>
      </c>
      <c r="I37" s="106"/>
      <c r="J37" s="106">
        <f t="shared" si="0"/>
        <v>0.82</v>
      </c>
      <c r="K37" s="106"/>
      <c r="L37" s="106">
        <v>1</v>
      </c>
      <c r="M37" s="106"/>
      <c r="N37" s="106"/>
      <c r="O37" s="106">
        <f t="shared" si="1"/>
        <v>-1</v>
      </c>
      <c r="P37" s="4"/>
    </row>
    <row r="38" spans="1:16" x14ac:dyDescent="0.3">
      <c r="A38" s="4" t="s">
        <v>191</v>
      </c>
      <c r="B38" s="4" t="s">
        <v>192</v>
      </c>
      <c r="C38" s="4"/>
      <c r="D38" s="106">
        <v>7004.14</v>
      </c>
      <c r="E38" s="106"/>
      <c r="F38" s="106">
        <v>1028.3900000000001</v>
      </c>
      <c r="G38" s="106"/>
      <c r="H38" s="106">
        <v>450.78</v>
      </c>
      <c r="I38" s="106"/>
      <c r="J38" s="106">
        <f t="shared" si="0"/>
        <v>2827.7700000000004</v>
      </c>
      <c r="K38" s="106"/>
      <c r="L38" s="106">
        <v>4905</v>
      </c>
      <c r="M38" s="106"/>
      <c r="N38" s="106">
        <v>2800</v>
      </c>
      <c r="O38" s="106">
        <f t="shared" si="1"/>
        <v>-2105</v>
      </c>
      <c r="P38" s="4"/>
    </row>
    <row r="39" spans="1:16" x14ac:dyDescent="0.3">
      <c r="A39" s="4" t="s">
        <v>193</v>
      </c>
      <c r="B39" s="4" t="s">
        <v>194</v>
      </c>
      <c r="C39" s="4"/>
      <c r="D39" s="106">
        <v>0</v>
      </c>
      <c r="E39" s="106"/>
      <c r="F39" s="106">
        <v>0</v>
      </c>
      <c r="G39" s="106"/>
      <c r="H39" s="106">
        <v>0</v>
      </c>
      <c r="I39" s="106"/>
      <c r="J39" s="106">
        <f t="shared" si="0"/>
        <v>0</v>
      </c>
      <c r="K39" s="106"/>
      <c r="L39" s="106">
        <f t="shared" si="2"/>
        <v>0</v>
      </c>
      <c r="M39" s="106"/>
      <c r="N39" s="106"/>
      <c r="O39" s="106">
        <f t="shared" si="1"/>
        <v>0</v>
      </c>
      <c r="P39" s="4"/>
    </row>
    <row r="40" spans="1:16" x14ac:dyDescent="0.3">
      <c r="A40" s="4" t="s">
        <v>195</v>
      </c>
      <c r="B40" s="4" t="s">
        <v>196</v>
      </c>
      <c r="C40" s="4"/>
      <c r="D40" s="106">
        <v>428.11</v>
      </c>
      <c r="E40" s="106"/>
      <c r="F40" s="106">
        <v>304.52999999999997</v>
      </c>
      <c r="G40" s="106"/>
      <c r="H40" s="106">
        <v>200.19</v>
      </c>
      <c r="I40" s="106"/>
      <c r="J40" s="106">
        <f t="shared" si="0"/>
        <v>310.94333333333333</v>
      </c>
      <c r="K40" s="106"/>
      <c r="L40" s="106">
        <v>379</v>
      </c>
      <c r="M40" s="106"/>
      <c r="N40" s="106">
        <v>300</v>
      </c>
      <c r="O40" s="106">
        <f t="shared" si="1"/>
        <v>-79</v>
      </c>
      <c r="P40" s="4"/>
    </row>
    <row r="41" spans="1:16" x14ac:dyDescent="0.3">
      <c r="A41" s="4" t="s">
        <v>197</v>
      </c>
      <c r="B41" s="4" t="s">
        <v>198</v>
      </c>
      <c r="C41" s="4"/>
      <c r="D41" s="106">
        <v>0</v>
      </c>
      <c r="E41" s="106"/>
      <c r="F41" s="106">
        <v>0</v>
      </c>
      <c r="G41" s="106"/>
      <c r="H41" s="106">
        <v>0</v>
      </c>
      <c r="I41" s="106"/>
      <c r="J41" s="106">
        <f t="shared" si="0"/>
        <v>0</v>
      </c>
      <c r="K41" s="106"/>
      <c r="L41" s="106">
        <f t="shared" si="2"/>
        <v>0</v>
      </c>
      <c r="M41" s="106"/>
      <c r="N41" s="106"/>
      <c r="O41" s="106">
        <f t="shared" si="1"/>
        <v>0</v>
      </c>
      <c r="P41" s="4"/>
    </row>
    <row r="42" spans="1:16" x14ac:dyDescent="0.3">
      <c r="A42" s="4" t="s">
        <v>199</v>
      </c>
      <c r="B42" s="4" t="s">
        <v>200</v>
      </c>
      <c r="C42" s="4"/>
      <c r="D42" s="106">
        <v>0</v>
      </c>
      <c r="E42" s="106"/>
      <c r="F42" s="106">
        <v>0</v>
      </c>
      <c r="G42" s="106"/>
      <c r="H42" s="106">
        <v>0</v>
      </c>
      <c r="I42" s="106"/>
      <c r="J42" s="106">
        <f t="shared" si="0"/>
        <v>0</v>
      </c>
      <c r="K42" s="106"/>
      <c r="L42" s="106">
        <f t="shared" si="2"/>
        <v>0</v>
      </c>
      <c r="M42" s="106"/>
      <c r="N42" s="106"/>
      <c r="O42" s="106">
        <f t="shared" si="1"/>
        <v>0</v>
      </c>
      <c r="P42" s="4"/>
    </row>
    <row r="43" spans="1:16" x14ac:dyDescent="0.3">
      <c r="A43" s="4" t="s">
        <v>527</v>
      </c>
      <c r="B43" s="4" t="s">
        <v>201</v>
      </c>
      <c r="C43" s="4"/>
      <c r="D43" s="106">
        <v>306</v>
      </c>
      <c r="E43" s="106"/>
      <c r="F43" s="106">
        <v>274.8</v>
      </c>
      <c r="G43" s="106"/>
      <c r="H43" s="106">
        <v>314.2</v>
      </c>
      <c r="I43" s="106"/>
      <c r="J43" s="106">
        <f t="shared" si="0"/>
        <v>298.33333333333331</v>
      </c>
      <c r="K43" s="106"/>
      <c r="L43" s="106">
        <v>271</v>
      </c>
      <c r="M43" s="106"/>
      <c r="N43" s="106">
        <v>300</v>
      </c>
      <c r="O43" s="106">
        <f t="shared" si="1"/>
        <v>29</v>
      </c>
      <c r="P43" s="4"/>
    </row>
    <row r="44" spans="1:16" hidden="1" x14ac:dyDescent="0.3">
      <c r="A44" s="4" t="s">
        <v>202</v>
      </c>
      <c r="B44" s="4" t="s">
        <v>203</v>
      </c>
      <c r="C44" s="4"/>
      <c r="D44" s="106">
        <v>0</v>
      </c>
      <c r="E44" s="106"/>
      <c r="F44" s="106">
        <v>0</v>
      </c>
      <c r="G44" s="106"/>
      <c r="H44" s="106">
        <v>0</v>
      </c>
      <c r="I44" s="106"/>
      <c r="J44" s="106">
        <f t="shared" si="0"/>
        <v>0</v>
      </c>
      <c r="K44" s="106"/>
      <c r="L44" s="106">
        <v>0</v>
      </c>
      <c r="M44" s="106"/>
      <c r="N44" s="106"/>
      <c r="O44" s="106">
        <f t="shared" si="1"/>
        <v>0</v>
      </c>
      <c r="P44" s="4"/>
    </row>
    <row r="45" spans="1:16" hidden="1" x14ac:dyDescent="0.3">
      <c r="A45" s="4" t="s">
        <v>204</v>
      </c>
      <c r="B45" s="4" t="s">
        <v>205</v>
      </c>
      <c r="C45" s="4"/>
      <c r="D45" s="106">
        <v>0</v>
      </c>
      <c r="E45" s="106"/>
      <c r="F45" s="106">
        <v>0</v>
      </c>
      <c r="G45" s="106"/>
      <c r="H45" s="106">
        <v>0</v>
      </c>
      <c r="I45" s="106"/>
      <c r="J45" s="106">
        <f t="shared" si="0"/>
        <v>0</v>
      </c>
      <c r="K45" s="106"/>
      <c r="L45" s="106">
        <v>0</v>
      </c>
      <c r="M45" s="106"/>
      <c r="N45" s="106"/>
      <c r="O45" s="106">
        <f t="shared" si="1"/>
        <v>0</v>
      </c>
      <c r="P45" s="4"/>
    </row>
    <row r="46" spans="1:16" x14ac:dyDescent="0.3">
      <c r="A46" s="4" t="s">
        <v>206</v>
      </c>
      <c r="B46" s="4" t="s">
        <v>207</v>
      </c>
      <c r="C46" s="4"/>
      <c r="D46" s="106">
        <v>795.8</v>
      </c>
      <c r="E46" s="106"/>
      <c r="F46" s="106">
        <v>668.2</v>
      </c>
      <c r="G46" s="106"/>
      <c r="H46" s="106">
        <v>776.52</v>
      </c>
      <c r="I46" s="106"/>
      <c r="J46" s="106">
        <f t="shared" si="0"/>
        <v>746.84</v>
      </c>
      <c r="K46" s="106"/>
      <c r="L46" s="106">
        <v>722</v>
      </c>
      <c r="M46" s="106"/>
      <c r="N46" s="106">
        <v>700</v>
      </c>
      <c r="O46" s="106">
        <f t="shared" si="1"/>
        <v>-22</v>
      </c>
      <c r="P46" s="4"/>
    </row>
    <row r="47" spans="1:16" x14ac:dyDescent="0.3">
      <c r="A47" s="4" t="s">
        <v>208</v>
      </c>
      <c r="B47" s="4" t="s">
        <v>209</v>
      </c>
      <c r="C47" s="4"/>
      <c r="D47" s="106">
        <v>1848</v>
      </c>
      <c r="E47" s="106"/>
      <c r="F47" s="106">
        <v>2106.7199999999998</v>
      </c>
      <c r="G47" s="106"/>
      <c r="H47" s="106">
        <v>1398.01</v>
      </c>
      <c r="I47" s="106"/>
      <c r="J47" s="106">
        <f t="shared" si="0"/>
        <v>1784.2433333333331</v>
      </c>
      <c r="K47" s="106"/>
      <c r="L47" s="106">
        <v>1923</v>
      </c>
      <c r="M47" s="106"/>
      <c r="N47" s="106">
        <v>1800</v>
      </c>
      <c r="O47" s="106">
        <f t="shared" si="1"/>
        <v>-123</v>
      </c>
      <c r="P47" s="4"/>
    </row>
    <row r="48" spans="1:16" x14ac:dyDescent="0.3">
      <c r="A48" s="4" t="s">
        <v>210</v>
      </c>
      <c r="B48" s="4" t="s">
        <v>211</v>
      </c>
      <c r="C48" s="4"/>
      <c r="D48" s="106">
        <v>184.34</v>
      </c>
      <c r="E48" s="106"/>
      <c r="F48" s="106">
        <v>210.47</v>
      </c>
      <c r="G48" s="106"/>
      <c r="H48" s="106">
        <v>133.37</v>
      </c>
      <c r="I48" s="106"/>
      <c r="J48" s="106">
        <f t="shared" si="0"/>
        <v>176.06000000000003</v>
      </c>
      <c r="K48" s="106"/>
      <c r="L48" s="106">
        <v>183</v>
      </c>
      <c r="M48" s="106"/>
      <c r="N48" s="106">
        <v>200</v>
      </c>
      <c r="O48" s="106">
        <f t="shared" si="1"/>
        <v>17</v>
      </c>
      <c r="P48" s="4"/>
    </row>
    <row r="49" spans="1:16" x14ac:dyDescent="0.3">
      <c r="A49" s="4" t="s">
        <v>212</v>
      </c>
      <c r="B49" s="4" t="s">
        <v>213</v>
      </c>
      <c r="C49" s="4"/>
      <c r="D49" s="106">
        <v>643.78</v>
      </c>
      <c r="E49" s="106"/>
      <c r="F49" s="106">
        <v>465.12</v>
      </c>
      <c r="G49" s="106"/>
      <c r="H49" s="106">
        <v>464.33</v>
      </c>
      <c r="I49" s="106"/>
      <c r="J49" s="106">
        <f t="shared" si="0"/>
        <v>524.41</v>
      </c>
      <c r="K49" s="106"/>
      <c r="L49" s="106">
        <v>617</v>
      </c>
      <c r="M49" s="106"/>
      <c r="N49" s="106">
        <v>500</v>
      </c>
      <c r="O49" s="106">
        <f t="shared" si="1"/>
        <v>-117</v>
      </c>
      <c r="P49" s="4"/>
    </row>
    <row r="50" spans="1:16" x14ac:dyDescent="0.3">
      <c r="A50" s="4" t="s">
        <v>214</v>
      </c>
      <c r="B50" s="4" t="s">
        <v>215</v>
      </c>
      <c r="C50" s="4"/>
      <c r="D50" s="106">
        <v>10105.379999999999</v>
      </c>
      <c r="E50" s="106"/>
      <c r="F50" s="106">
        <v>5969.11</v>
      </c>
      <c r="G50" s="106"/>
      <c r="H50" s="106">
        <v>1545</v>
      </c>
      <c r="I50" s="106"/>
      <c r="J50" s="106">
        <f t="shared" si="0"/>
        <v>5873.163333333333</v>
      </c>
      <c r="K50" s="106"/>
      <c r="L50" s="106">
        <v>10114</v>
      </c>
      <c r="M50" s="106"/>
      <c r="N50" s="106">
        <v>5900</v>
      </c>
      <c r="O50" s="106">
        <f t="shared" si="1"/>
        <v>-4214</v>
      </c>
      <c r="P50" s="4"/>
    </row>
    <row r="51" spans="1:16" x14ac:dyDescent="0.3">
      <c r="A51" s="4" t="s">
        <v>576</v>
      </c>
      <c r="B51" s="4" t="s">
        <v>577</v>
      </c>
      <c r="C51" s="4"/>
      <c r="D51" s="106">
        <v>1194.53</v>
      </c>
      <c r="E51" s="106"/>
      <c r="F51" s="106">
        <v>3737.09</v>
      </c>
      <c r="G51" s="106"/>
      <c r="H51" s="106">
        <v>5253.02</v>
      </c>
      <c r="I51" s="106"/>
      <c r="J51" s="106">
        <f t="shared" si="0"/>
        <v>3394.8799999999997</v>
      </c>
      <c r="K51" s="106"/>
      <c r="L51" s="106">
        <v>1644</v>
      </c>
      <c r="M51" s="106"/>
      <c r="N51" s="106">
        <v>3400</v>
      </c>
      <c r="O51" s="106">
        <f t="shared" si="1"/>
        <v>1756</v>
      </c>
      <c r="P51" s="4"/>
    </row>
    <row r="52" spans="1:16" x14ac:dyDescent="0.3">
      <c r="A52" s="4" t="s">
        <v>216</v>
      </c>
      <c r="B52" s="4" t="s">
        <v>217</v>
      </c>
      <c r="C52" s="4"/>
      <c r="D52" s="106">
        <v>150</v>
      </c>
      <c r="E52" s="106"/>
      <c r="F52" s="106">
        <v>312.5</v>
      </c>
      <c r="G52" s="106"/>
      <c r="H52" s="106">
        <v>125</v>
      </c>
      <c r="I52" s="106"/>
      <c r="J52" s="106">
        <f t="shared" si="0"/>
        <v>195.83333333333334</v>
      </c>
      <c r="K52" s="106"/>
      <c r="L52" s="106">
        <v>209</v>
      </c>
      <c r="M52" s="106"/>
      <c r="N52" s="106">
        <v>200</v>
      </c>
      <c r="O52" s="106">
        <f t="shared" si="1"/>
        <v>-9</v>
      </c>
      <c r="P52" s="4"/>
    </row>
    <row r="53" spans="1:16" x14ac:dyDescent="0.3">
      <c r="A53" s="4" t="s">
        <v>218</v>
      </c>
      <c r="B53" s="4" t="s">
        <v>219</v>
      </c>
      <c r="C53" s="4"/>
      <c r="D53" s="106">
        <v>59.25</v>
      </c>
      <c r="E53" s="106"/>
      <c r="F53" s="106">
        <v>65.5</v>
      </c>
      <c r="G53" s="106"/>
      <c r="H53" s="106">
        <v>63.5</v>
      </c>
      <c r="I53" s="106"/>
      <c r="J53" s="106">
        <f t="shared" si="0"/>
        <v>62.75</v>
      </c>
      <c r="K53" s="106"/>
      <c r="L53" s="106">
        <v>60</v>
      </c>
      <c r="M53" s="106"/>
      <c r="N53" s="106"/>
      <c r="O53" s="106">
        <f t="shared" si="1"/>
        <v>-60</v>
      </c>
      <c r="P53" s="4"/>
    </row>
    <row r="54" spans="1:16" x14ac:dyDescent="0.3">
      <c r="A54" s="4" t="s">
        <v>220</v>
      </c>
      <c r="B54" s="4" t="s">
        <v>221</v>
      </c>
      <c r="C54" s="4"/>
      <c r="D54" s="106">
        <v>176.5</v>
      </c>
      <c r="E54" s="106"/>
      <c r="F54" s="106">
        <v>174.5</v>
      </c>
      <c r="G54" s="106"/>
      <c r="H54" s="106">
        <v>212.5</v>
      </c>
      <c r="I54" s="106"/>
      <c r="J54" s="106">
        <f t="shared" si="0"/>
        <v>187.83333333333334</v>
      </c>
      <c r="K54" s="106"/>
      <c r="L54" s="106">
        <v>183</v>
      </c>
      <c r="M54" s="106"/>
      <c r="N54" s="106">
        <v>200</v>
      </c>
      <c r="O54" s="106">
        <f t="shared" si="1"/>
        <v>17</v>
      </c>
      <c r="P54" s="4"/>
    </row>
    <row r="55" spans="1:16" x14ac:dyDescent="0.3">
      <c r="A55" s="4" t="s">
        <v>542</v>
      </c>
      <c r="B55" s="4" t="s">
        <v>543</v>
      </c>
      <c r="C55" s="4"/>
      <c r="D55" s="106">
        <v>25200</v>
      </c>
      <c r="E55" s="106"/>
      <c r="F55" s="106">
        <v>25200</v>
      </c>
      <c r="G55" s="106"/>
      <c r="H55" s="106">
        <v>25200</v>
      </c>
      <c r="I55" s="106"/>
      <c r="J55" s="106">
        <f t="shared" si="0"/>
        <v>25200</v>
      </c>
      <c r="K55" s="106"/>
      <c r="L55" s="106">
        <v>25200</v>
      </c>
      <c r="M55" s="106"/>
      <c r="N55" s="106">
        <v>25200</v>
      </c>
      <c r="O55" s="106">
        <f t="shared" si="1"/>
        <v>0</v>
      </c>
      <c r="P55" s="4"/>
    </row>
    <row r="56" spans="1:16" x14ac:dyDescent="0.3">
      <c r="A56" s="4" t="s">
        <v>222</v>
      </c>
      <c r="B56" s="4" t="s">
        <v>223</v>
      </c>
      <c r="C56" s="4"/>
      <c r="D56" s="106">
        <v>44.55</v>
      </c>
      <c r="E56" s="106"/>
      <c r="F56" s="106">
        <v>16.489999999999998</v>
      </c>
      <c r="G56" s="106"/>
      <c r="H56" s="106">
        <v>3</v>
      </c>
      <c r="I56" s="106"/>
      <c r="J56" s="106">
        <f t="shared" si="0"/>
        <v>21.346666666666664</v>
      </c>
      <c r="K56" s="106"/>
      <c r="L56" s="106">
        <v>34</v>
      </c>
      <c r="M56" s="106"/>
      <c r="N56" s="106"/>
      <c r="O56" s="106">
        <f t="shared" si="1"/>
        <v>-34</v>
      </c>
      <c r="P56" s="4"/>
    </row>
    <row r="57" spans="1:16" x14ac:dyDescent="0.3">
      <c r="A57" s="4" t="s">
        <v>546</v>
      </c>
      <c r="B57" s="4" t="s">
        <v>547</v>
      </c>
      <c r="C57" s="4"/>
      <c r="D57" s="106">
        <v>0</v>
      </c>
      <c r="E57" s="106"/>
      <c r="F57" s="106">
        <v>0</v>
      </c>
      <c r="G57" s="106"/>
      <c r="H57" s="152">
        <v>0</v>
      </c>
      <c r="I57" s="106"/>
      <c r="J57" s="106">
        <f t="shared" si="0"/>
        <v>0</v>
      </c>
      <c r="K57" s="106"/>
      <c r="L57" s="106">
        <v>3306</v>
      </c>
      <c r="M57" s="106"/>
      <c r="N57" s="106"/>
      <c r="O57" s="106">
        <f t="shared" si="1"/>
        <v>-3306</v>
      </c>
      <c r="P57" s="4"/>
    </row>
    <row r="58" spans="1:16" x14ac:dyDescent="0.3">
      <c r="A58" s="4" t="s">
        <v>669</v>
      </c>
      <c r="B58" s="4" t="s">
        <v>670</v>
      </c>
      <c r="C58" s="4"/>
      <c r="D58" s="106">
        <v>0</v>
      </c>
      <c r="E58" s="106"/>
      <c r="F58" s="106">
        <v>0</v>
      </c>
      <c r="G58" s="106"/>
      <c r="H58" s="106">
        <v>3993</v>
      </c>
      <c r="I58" s="106"/>
      <c r="J58" s="106">
        <f t="shared" si="0"/>
        <v>1331</v>
      </c>
      <c r="K58" s="106"/>
      <c r="L58" s="106">
        <v>0</v>
      </c>
      <c r="M58" s="106"/>
      <c r="N58" s="106">
        <v>1300</v>
      </c>
      <c r="O58" s="106">
        <f t="shared" si="1"/>
        <v>1300</v>
      </c>
      <c r="P58" s="4"/>
    </row>
    <row r="59" spans="1:16" x14ac:dyDescent="0.3">
      <c r="A59" s="4" t="s">
        <v>572</v>
      </c>
      <c r="B59" s="4" t="s">
        <v>573</v>
      </c>
      <c r="C59" s="4"/>
      <c r="D59" s="106">
        <v>360056.65</v>
      </c>
      <c r="E59" s="106"/>
      <c r="F59" s="106">
        <v>377832.11</v>
      </c>
      <c r="G59" s="106"/>
      <c r="H59" s="106">
        <v>460372.81</v>
      </c>
      <c r="I59" s="106"/>
      <c r="J59" s="106">
        <f t="shared" si="0"/>
        <v>399420.52333333337</v>
      </c>
      <c r="K59" s="106"/>
      <c r="L59" s="106">
        <v>365459</v>
      </c>
      <c r="M59" s="106"/>
      <c r="N59" s="152">
        <v>399400</v>
      </c>
      <c r="O59" s="106">
        <f t="shared" si="1"/>
        <v>33941</v>
      </c>
      <c r="P59" s="4" t="s">
        <v>746</v>
      </c>
    </row>
    <row r="60" spans="1:16" x14ac:dyDescent="0.3">
      <c r="A60" s="4" t="s">
        <v>586</v>
      </c>
      <c r="B60" s="4" t="s">
        <v>587</v>
      </c>
      <c r="C60" s="4"/>
      <c r="D60" s="106">
        <v>0</v>
      </c>
      <c r="E60" s="106"/>
      <c r="F60" s="106">
        <v>127.86</v>
      </c>
      <c r="G60" s="106"/>
      <c r="H60" s="106">
        <v>0</v>
      </c>
      <c r="I60" s="106"/>
      <c r="J60" s="106">
        <f t="shared" si="0"/>
        <v>42.62</v>
      </c>
      <c r="K60" s="106"/>
      <c r="L60" s="106">
        <v>43</v>
      </c>
      <c r="M60" s="106"/>
      <c r="N60" s="106"/>
      <c r="O60" s="106">
        <f t="shared" si="1"/>
        <v>-43</v>
      </c>
      <c r="P60" s="4"/>
    </row>
    <row r="61" spans="1:16" x14ac:dyDescent="0.3">
      <c r="A61" s="4" t="s">
        <v>224</v>
      </c>
      <c r="B61" s="4" t="s">
        <v>225</v>
      </c>
      <c r="C61" s="4"/>
      <c r="D61" s="106">
        <v>0</v>
      </c>
      <c r="E61" s="106"/>
      <c r="F61" s="106">
        <v>0</v>
      </c>
      <c r="G61" s="106"/>
      <c r="H61" s="106">
        <v>0</v>
      </c>
      <c r="I61" s="106"/>
      <c r="J61" s="106">
        <f t="shared" si="0"/>
        <v>0</v>
      </c>
      <c r="K61" s="106"/>
      <c r="L61" s="106">
        <f t="shared" si="2"/>
        <v>0</v>
      </c>
      <c r="M61" s="106"/>
      <c r="N61" s="106"/>
      <c r="O61" s="106">
        <f t="shared" si="1"/>
        <v>0</v>
      </c>
      <c r="P61" s="4"/>
    </row>
    <row r="62" spans="1:16" x14ac:dyDescent="0.3">
      <c r="A62" s="4" t="s">
        <v>558</v>
      </c>
      <c r="B62" s="4" t="s">
        <v>557</v>
      </c>
      <c r="C62" s="4"/>
      <c r="D62" s="106">
        <v>2672.45</v>
      </c>
      <c r="E62" s="106"/>
      <c r="F62" s="106">
        <v>0</v>
      </c>
      <c r="G62" s="106"/>
      <c r="H62" s="106">
        <v>0</v>
      </c>
      <c r="I62" s="106"/>
      <c r="J62" s="106">
        <f t="shared" si="0"/>
        <v>890.81666666666661</v>
      </c>
      <c r="K62" s="106"/>
      <c r="L62" s="106">
        <v>0</v>
      </c>
      <c r="M62" s="106"/>
      <c r="N62" s="106"/>
      <c r="O62" s="106">
        <f t="shared" si="1"/>
        <v>0</v>
      </c>
      <c r="P62" s="4"/>
    </row>
    <row r="63" spans="1:16" x14ac:dyDescent="0.3">
      <c r="A63" s="4" t="s">
        <v>226</v>
      </c>
      <c r="B63" s="4" t="s">
        <v>227</v>
      </c>
      <c r="C63" s="4"/>
      <c r="D63" s="106">
        <v>10888.02</v>
      </c>
      <c r="E63" s="106"/>
      <c r="F63" s="106">
        <v>11371.52</v>
      </c>
      <c r="G63" s="106"/>
      <c r="H63" s="106">
        <v>15341.91</v>
      </c>
      <c r="I63" s="106"/>
      <c r="J63" s="106">
        <f t="shared" si="0"/>
        <v>12533.816666666666</v>
      </c>
      <c r="K63" s="106"/>
      <c r="L63" s="106">
        <v>10547</v>
      </c>
      <c r="M63" s="106"/>
      <c r="N63" s="106">
        <v>12500</v>
      </c>
      <c r="O63" s="106">
        <f t="shared" si="1"/>
        <v>1953</v>
      </c>
      <c r="P63" s="4"/>
    </row>
    <row r="64" spans="1:16" x14ac:dyDescent="0.3">
      <c r="A64" s="4" t="s">
        <v>228</v>
      </c>
      <c r="B64" s="4" t="s">
        <v>229</v>
      </c>
      <c r="C64" s="4"/>
      <c r="D64" s="106">
        <v>0</v>
      </c>
      <c r="E64" s="106"/>
      <c r="F64" s="106">
        <v>0</v>
      </c>
      <c r="G64" s="106"/>
      <c r="H64" s="106">
        <v>0</v>
      </c>
      <c r="I64" s="106"/>
      <c r="J64" s="106">
        <f t="shared" si="0"/>
        <v>0</v>
      </c>
      <c r="K64" s="106"/>
      <c r="L64" s="106">
        <v>0</v>
      </c>
      <c r="M64" s="106"/>
      <c r="N64" s="106"/>
      <c r="O64" s="106">
        <f t="shared" si="1"/>
        <v>0</v>
      </c>
      <c r="P64" s="4"/>
    </row>
    <row r="65" spans="1:18" x14ac:dyDescent="0.3">
      <c r="A65" s="4" t="s">
        <v>230</v>
      </c>
      <c r="B65" s="4" t="s">
        <v>231</v>
      </c>
      <c r="C65" s="4"/>
      <c r="D65" s="106">
        <v>0</v>
      </c>
      <c r="E65" s="106"/>
      <c r="F65" s="106">
        <v>0</v>
      </c>
      <c r="G65" s="106"/>
      <c r="H65" s="106">
        <v>0</v>
      </c>
      <c r="I65" s="106"/>
      <c r="J65" s="106">
        <f t="shared" si="0"/>
        <v>0</v>
      </c>
      <c r="K65" s="106"/>
      <c r="L65" s="106">
        <v>0</v>
      </c>
      <c r="M65" s="106"/>
      <c r="N65" s="106"/>
      <c r="O65" s="106">
        <f t="shared" si="1"/>
        <v>0</v>
      </c>
      <c r="P65" s="4"/>
    </row>
    <row r="66" spans="1:18" x14ac:dyDescent="0.3">
      <c r="A66" s="4" t="s">
        <v>232</v>
      </c>
      <c r="B66" s="4" t="s">
        <v>233</v>
      </c>
      <c r="C66" s="4"/>
      <c r="D66" s="106">
        <v>0</v>
      </c>
      <c r="E66" s="106"/>
      <c r="F66" s="106">
        <v>0</v>
      </c>
      <c r="G66" s="106"/>
      <c r="H66" s="106">
        <v>0</v>
      </c>
      <c r="I66" s="106"/>
      <c r="J66" s="106">
        <f t="shared" si="0"/>
        <v>0</v>
      </c>
      <c r="K66" s="106"/>
      <c r="L66" s="106">
        <v>0</v>
      </c>
      <c r="M66" s="106"/>
      <c r="N66" s="106"/>
      <c r="O66" s="106">
        <f t="shared" si="1"/>
        <v>0</v>
      </c>
      <c r="P66" s="4"/>
    </row>
    <row r="67" spans="1:18" x14ac:dyDescent="0.3">
      <c r="A67" s="4" t="s">
        <v>234</v>
      </c>
      <c r="B67" s="4" t="s">
        <v>235</v>
      </c>
      <c r="C67" s="4"/>
      <c r="D67" s="106">
        <v>0</v>
      </c>
      <c r="E67" s="106"/>
      <c r="F67" s="106">
        <v>0</v>
      </c>
      <c r="G67" s="106"/>
      <c r="H67" s="106">
        <v>0</v>
      </c>
      <c r="I67" s="106"/>
      <c r="J67" s="106">
        <f t="shared" si="0"/>
        <v>0</v>
      </c>
      <c r="K67" s="106"/>
      <c r="L67" s="106">
        <v>0</v>
      </c>
      <c r="M67" s="106"/>
      <c r="N67" s="106"/>
      <c r="O67" s="106">
        <f t="shared" si="1"/>
        <v>0</v>
      </c>
      <c r="P67" s="4"/>
    </row>
    <row r="68" spans="1:18" x14ac:dyDescent="0.3">
      <c r="A68" s="4" t="s">
        <v>236</v>
      </c>
      <c r="B68" s="4" t="s">
        <v>237</v>
      </c>
      <c r="C68" s="4"/>
      <c r="D68" s="106">
        <v>0</v>
      </c>
      <c r="E68" s="106"/>
      <c r="F68" s="106">
        <v>0</v>
      </c>
      <c r="G68" s="106"/>
      <c r="H68" s="106">
        <v>0</v>
      </c>
      <c r="I68" s="106"/>
      <c r="J68" s="106">
        <f t="shared" si="0"/>
        <v>0</v>
      </c>
      <c r="K68" s="106"/>
      <c r="L68" s="106">
        <v>0</v>
      </c>
      <c r="M68" s="106"/>
      <c r="N68" s="106"/>
      <c r="O68" s="106">
        <f t="shared" si="1"/>
        <v>0</v>
      </c>
      <c r="P68" s="4"/>
    </row>
    <row r="69" spans="1:18" x14ac:dyDescent="0.3">
      <c r="A69" s="4" t="s">
        <v>238</v>
      </c>
      <c r="B69" s="4" t="s">
        <v>239</v>
      </c>
      <c r="C69" s="4"/>
      <c r="D69" s="106">
        <v>1070</v>
      </c>
      <c r="E69" s="106"/>
      <c r="F69" s="106">
        <v>75</v>
      </c>
      <c r="G69" s="106"/>
      <c r="H69" s="106">
        <v>0</v>
      </c>
      <c r="I69" s="106"/>
      <c r="J69" s="106">
        <f t="shared" si="0"/>
        <v>381.66666666666669</v>
      </c>
      <c r="K69" s="106"/>
      <c r="L69" s="106">
        <v>535</v>
      </c>
      <c r="M69" s="106"/>
      <c r="N69" s="106">
        <v>400</v>
      </c>
      <c r="O69" s="106">
        <f t="shared" si="1"/>
        <v>-135</v>
      </c>
      <c r="P69" s="4"/>
    </row>
    <row r="70" spans="1:18" x14ac:dyDescent="0.3">
      <c r="A70" s="4" t="s">
        <v>240</v>
      </c>
      <c r="B70" s="4" t="s">
        <v>241</v>
      </c>
      <c r="C70" s="4"/>
      <c r="D70" s="106">
        <v>10335</v>
      </c>
      <c r="E70" s="106"/>
      <c r="F70" s="106">
        <v>21300</v>
      </c>
      <c r="G70" s="106"/>
      <c r="H70" s="106">
        <v>11215</v>
      </c>
      <c r="I70" s="106"/>
      <c r="J70" s="106">
        <f t="shared" si="0"/>
        <v>14283.333333333334</v>
      </c>
      <c r="K70" s="106"/>
      <c r="L70" s="106">
        <v>14907</v>
      </c>
      <c r="M70" s="106"/>
      <c r="N70" s="106">
        <v>14300</v>
      </c>
      <c r="O70" s="106">
        <f t="shared" si="1"/>
        <v>-607</v>
      </c>
      <c r="P70" s="4"/>
    </row>
    <row r="71" spans="1:18" x14ac:dyDescent="0.3">
      <c r="A71" s="4" t="s">
        <v>242</v>
      </c>
      <c r="B71" s="4" t="s">
        <v>588</v>
      </c>
      <c r="C71" s="4"/>
      <c r="D71" s="106">
        <v>72930</v>
      </c>
      <c r="E71" s="106"/>
      <c r="F71" s="106">
        <v>132380</v>
      </c>
      <c r="G71" s="106"/>
      <c r="H71" s="106">
        <v>150069.24</v>
      </c>
      <c r="I71" s="106"/>
      <c r="J71" s="106">
        <f t="shared" si="0"/>
        <v>118459.74666666666</v>
      </c>
      <c r="K71" s="106"/>
      <c r="L71" s="106">
        <v>120000</v>
      </c>
      <c r="M71" s="106"/>
      <c r="N71" s="106">
        <v>120000</v>
      </c>
      <c r="O71" s="106">
        <f t="shared" si="1"/>
        <v>0</v>
      </c>
      <c r="P71" s="4"/>
    </row>
    <row r="72" spans="1:18" x14ac:dyDescent="0.3">
      <c r="A72" s="4" t="s">
        <v>589</v>
      </c>
      <c r="B72" s="4" t="s">
        <v>590</v>
      </c>
      <c r="C72" s="4"/>
      <c r="D72" s="106">
        <v>0</v>
      </c>
      <c r="E72" s="106"/>
      <c r="F72" s="106">
        <v>1400</v>
      </c>
      <c r="G72" s="106"/>
      <c r="H72" s="106">
        <v>1100</v>
      </c>
      <c r="I72" s="106"/>
      <c r="J72" s="106">
        <f t="shared" si="0"/>
        <v>833.33333333333337</v>
      </c>
      <c r="K72" s="106"/>
      <c r="L72" s="106">
        <v>467</v>
      </c>
      <c r="M72" s="106"/>
      <c r="N72" s="106">
        <v>800</v>
      </c>
      <c r="O72" s="106">
        <f t="shared" si="1"/>
        <v>333</v>
      </c>
      <c r="P72" s="4"/>
    </row>
    <row r="73" spans="1:18" x14ac:dyDescent="0.3">
      <c r="A73" s="4" t="s">
        <v>243</v>
      </c>
      <c r="B73" s="4" t="s">
        <v>244</v>
      </c>
      <c r="C73" s="4"/>
      <c r="D73" s="106">
        <v>0</v>
      </c>
      <c r="E73" s="106"/>
      <c r="F73" s="106">
        <v>0</v>
      </c>
      <c r="G73" s="106"/>
      <c r="H73" s="106">
        <v>16255.38</v>
      </c>
      <c r="I73" s="106"/>
      <c r="J73" s="106">
        <f t="shared" si="0"/>
        <v>5418.46</v>
      </c>
      <c r="K73" s="106"/>
      <c r="L73" s="106">
        <v>0</v>
      </c>
      <c r="M73" s="106"/>
      <c r="N73" s="106"/>
      <c r="O73" s="106">
        <f t="shared" si="1"/>
        <v>0</v>
      </c>
      <c r="P73" s="4"/>
    </row>
    <row r="74" spans="1:18" x14ac:dyDescent="0.3">
      <c r="A74" s="4" t="s">
        <v>578</v>
      </c>
      <c r="B74" s="4" t="s">
        <v>579</v>
      </c>
      <c r="C74" s="4"/>
      <c r="D74" s="106">
        <v>1500</v>
      </c>
      <c r="E74" s="106"/>
      <c r="F74" s="106">
        <v>0</v>
      </c>
      <c r="G74" s="106"/>
      <c r="H74" s="106">
        <v>0</v>
      </c>
      <c r="I74" s="106"/>
      <c r="J74" s="106">
        <f t="shared" si="0"/>
        <v>500</v>
      </c>
      <c r="K74" s="106"/>
      <c r="L74" s="106">
        <v>0</v>
      </c>
      <c r="M74" s="106"/>
      <c r="N74" s="106"/>
      <c r="O74" s="106">
        <f t="shared" si="1"/>
        <v>0</v>
      </c>
      <c r="P74" s="4"/>
    </row>
    <row r="75" spans="1:18" x14ac:dyDescent="0.3">
      <c r="A75" s="4" t="s">
        <v>245</v>
      </c>
      <c r="B75" s="4" t="s">
        <v>246</v>
      </c>
      <c r="C75" s="4"/>
      <c r="D75" s="106">
        <v>0</v>
      </c>
      <c r="E75" s="106"/>
      <c r="F75" s="106">
        <v>0</v>
      </c>
      <c r="G75" s="106"/>
      <c r="H75" s="106">
        <v>0</v>
      </c>
      <c r="I75" s="106"/>
      <c r="J75" s="106">
        <f t="shared" si="0"/>
        <v>0</v>
      </c>
      <c r="K75" s="106"/>
      <c r="L75" s="106">
        <v>0</v>
      </c>
      <c r="M75" s="106"/>
      <c r="N75" s="106"/>
      <c r="O75" s="106">
        <f t="shared" si="1"/>
        <v>0</v>
      </c>
      <c r="P75" s="4"/>
    </row>
    <row r="76" spans="1:18" x14ac:dyDescent="0.3">
      <c r="A76" s="4" t="s">
        <v>247</v>
      </c>
      <c r="B76" s="4" t="s">
        <v>248</v>
      </c>
      <c r="C76" s="4"/>
      <c r="D76" s="106">
        <v>0</v>
      </c>
      <c r="E76" s="106"/>
      <c r="F76" s="106">
        <v>0</v>
      </c>
      <c r="G76" s="106"/>
      <c r="H76" s="106">
        <v>3.45</v>
      </c>
      <c r="I76" s="106"/>
      <c r="J76" s="106">
        <f t="shared" si="0"/>
        <v>1.1500000000000001</v>
      </c>
      <c r="K76" s="106"/>
      <c r="L76" s="106">
        <v>0</v>
      </c>
      <c r="M76" s="106"/>
      <c r="N76" s="106"/>
      <c r="O76" s="106">
        <f t="shared" si="1"/>
        <v>0</v>
      </c>
      <c r="P76" s="4"/>
    </row>
    <row r="77" spans="1:18" x14ac:dyDescent="0.3">
      <c r="A77" s="4" t="s">
        <v>249</v>
      </c>
      <c r="B77" s="4" t="s">
        <v>250</v>
      </c>
      <c r="C77" s="4"/>
      <c r="D77" s="106">
        <v>1760</v>
      </c>
      <c r="E77" s="106"/>
      <c r="F77" s="106">
        <v>1290</v>
      </c>
      <c r="G77" s="106"/>
      <c r="H77" s="106">
        <v>1470</v>
      </c>
      <c r="I77" s="106"/>
      <c r="J77" s="106">
        <f t="shared" si="0"/>
        <v>1506.6666666666667</v>
      </c>
      <c r="K77" s="106"/>
      <c r="L77" s="106">
        <v>1423</v>
      </c>
      <c r="M77" s="106"/>
      <c r="N77" s="106">
        <v>1500</v>
      </c>
      <c r="O77" s="106">
        <f t="shared" si="1"/>
        <v>77</v>
      </c>
      <c r="P77" s="4">
        <v>334500</v>
      </c>
    </row>
    <row r="78" spans="1:18" x14ac:dyDescent="0.3">
      <c r="A78" s="4" t="s">
        <v>251</v>
      </c>
      <c r="B78" s="4" t="s">
        <v>252</v>
      </c>
      <c r="C78" s="4"/>
      <c r="D78" s="106">
        <v>260879</v>
      </c>
      <c r="E78" s="106"/>
      <c r="F78" s="106">
        <v>336334.25</v>
      </c>
      <c r="G78" s="106"/>
      <c r="H78" s="106">
        <v>406153.25</v>
      </c>
      <c r="I78" s="106"/>
      <c r="J78" s="106">
        <f t="shared" si="0"/>
        <v>334455.5</v>
      </c>
      <c r="K78" s="106"/>
      <c r="L78" s="106">
        <v>277111</v>
      </c>
      <c r="M78" s="106"/>
      <c r="N78" s="152">
        <f>375000-9000</f>
        <v>366000</v>
      </c>
      <c r="O78" s="106">
        <f t="shared" si="1"/>
        <v>88889</v>
      </c>
      <c r="P78" s="4">
        <f>334500+19000</f>
        <v>353500</v>
      </c>
      <c r="R78">
        <v>25000</v>
      </c>
    </row>
    <row r="79" spans="1:18" x14ac:dyDescent="0.3">
      <c r="A79" s="4" t="s">
        <v>253</v>
      </c>
      <c r="B79" s="4" t="s">
        <v>254</v>
      </c>
      <c r="C79" s="4"/>
      <c r="D79" s="106">
        <v>1121</v>
      </c>
      <c r="E79" s="106"/>
      <c r="F79" s="106">
        <v>956</v>
      </c>
      <c r="G79" s="106"/>
      <c r="H79" s="106">
        <v>861</v>
      </c>
      <c r="I79" s="106"/>
      <c r="J79" s="106">
        <f t="shared" si="0"/>
        <v>979.33333333333337</v>
      </c>
      <c r="K79" s="106"/>
      <c r="L79" s="106">
        <v>1121</v>
      </c>
      <c r="M79" s="106"/>
      <c r="N79" s="106">
        <v>1000</v>
      </c>
      <c r="O79" s="106">
        <f t="shared" si="1"/>
        <v>-121</v>
      </c>
      <c r="P79" s="4"/>
    </row>
    <row r="80" spans="1:18" x14ac:dyDescent="0.3">
      <c r="A80" s="4" t="s">
        <v>255</v>
      </c>
      <c r="B80" s="4" t="s">
        <v>256</v>
      </c>
      <c r="C80" s="4"/>
      <c r="D80" s="106">
        <v>7453.53</v>
      </c>
      <c r="E80" s="106"/>
      <c r="F80" s="106">
        <v>8708.68</v>
      </c>
      <c r="G80" s="106"/>
      <c r="H80" s="106">
        <v>5725.81</v>
      </c>
      <c r="I80" s="106"/>
      <c r="J80" s="106">
        <f t="shared" si="0"/>
        <v>7296.0066666666671</v>
      </c>
      <c r="K80" s="106"/>
      <c r="L80" s="106">
        <v>8251</v>
      </c>
      <c r="M80" s="106"/>
      <c r="N80" s="106">
        <v>7300</v>
      </c>
      <c r="O80" s="106">
        <f t="shared" si="1"/>
        <v>-951</v>
      </c>
      <c r="P80" s="4"/>
    </row>
    <row r="81" spans="1:18" x14ac:dyDescent="0.3">
      <c r="A81" s="4" t="s">
        <v>257</v>
      </c>
      <c r="B81" s="4" t="s">
        <v>258</v>
      </c>
      <c r="C81" s="4"/>
      <c r="D81" s="106">
        <v>10620</v>
      </c>
      <c r="E81" s="106"/>
      <c r="F81" s="106">
        <v>19590</v>
      </c>
      <c r="G81" s="106"/>
      <c r="H81" s="106">
        <v>13230</v>
      </c>
      <c r="I81" s="106"/>
      <c r="J81" s="106">
        <f t="shared" si="0"/>
        <v>14480</v>
      </c>
      <c r="K81" s="106"/>
      <c r="L81" s="106">
        <v>14170</v>
      </c>
      <c r="M81" s="106"/>
      <c r="N81" s="106">
        <v>14500</v>
      </c>
      <c r="O81" s="106">
        <f t="shared" si="1"/>
        <v>330</v>
      </c>
      <c r="P81" s="4"/>
    </row>
    <row r="82" spans="1:18" x14ac:dyDescent="0.3">
      <c r="A82" s="4" t="s">
        <v>259</v>
      </c>
      <c r="B82" s="4" t="s">
        <v>260</v>
      </c>
      <c r="C82" s="4"/>
      <c r="D82" s="106">
        <v>15145.11</v>
      </c>
      <c r="E82" s="106"/>
      <c r="F82" s="106">
        <v>10062.75</v>
      </c>
      <c r="G82" s="106"/>
      <c r="H82" s="106">
        <v>13197.8</v>
      </c>
      <c r="I82" s="106"/>
      <c r="J82" s="106">
        <f t="shared" si="0"/>
        <v>12801.886666666667</v>
      </c>
      <c r="K82" s="106"/>
      <c r="L82" s="106">
        <v>13639</v>
      </c>
      <c r="M82" s="106"/>
      <c r="N82" s="106">
        <v>12800</v>
      </c>
      <c r="O82" s="106">
        <f t="shared" si="1"/>
        <v>-839</v>
      </c>
      <c r="P82" s="4"/>
    </row>
    <row r="83" spans="1:18" x14ac:dyDescent="0.3">
      <c r="A83" s="4" t="s">
        <v>671</v>
      </c>
      <c r="B83" s="4" t="s">
        <v>672</v>
      </c>
      <c r="C83" s="4"/>
      <c r="D83" s="106">
        <v>0</v>
      </c>
      <c r="E83" s="106"/>
      <c r="F83" s="106">
        <v>0</v>
      </c>
      <c r="G83" s="106"/>
      <c r="H83" s="106">
        <v>73255</v>
      </c>
      <c r="I83" s="106"/>
      <c r="J83" s="106">
        <f t="shared" ref="J83" si="3">(+D83+F83+H83)/3</f>
        <v>24418.333333333332</v>
      </c>
      <c r="K83" s="106"/>
      <c r="L83" s="106">
        <v>0</v>
      </c>
      <c r="M83" s="106"/>
      <c r="N83" s="152">
        <v>390000</v>
      </c>
      <c r="O83" s="106">
        <f t="shared" ref="O83" si="4">+N83-L83</f>
        <v>390000</v>
      </c>
      <c r="P83" s="4">
        <f>360000+25000</f>
        <v>385000</v>
      </c>
      <c r="R83">
        <v>40000</v>
      </c>
    </row>
    <row r="84" spans="1:18" x14ac:dyDescent="0.3">
      <c r="A84" s="4" t="s">
        <v>261</v>
      </c>
      <c r="B84" s="4" t="s">
        <v>262</v>
      </c>
      <c r="C84" s="4"/>
      <c r="D84" s="106">
        <v>84000</v>
      </c>
      <c r="E84" s="106"/>
      <c r="F84" s="106">
        <v>84000</v>
      </c>
      <c r="G84" s="106"/>
      <c r="H84" s="106">
        <v>84000</v>
      </c>
      <c r="I84" s="106"/>
      <c r="J84" s="106">
        <f t="shared" si="0"/>
        <v>84000</v>
      </c>
      <c r="K84" s="106"/>
      <c r="L84" s="106">
        <v>84000</v>
      </c>
      <c r="M84" s="106"/>
      <c r="N84" s="106">
        <v>84000</v>
      </c>
      <c r="O84" s="106">
        <f t="shared" ref="O84:O150" si="5">+N84-L84</f>
        <v>0</v>
      </c>
      <c r="P84" s="4"/>
    </row>
    <row r="85" spans="1:18" x14ac:dyDescent="0.3">
      <c r="A85" s="4" t="s">
        <v>263</v>
      </c>
      <c r="B85" s="4" t="s">
        <v>264</v>
      </c>
      <c r="C85" s="4"/>
      <c r="D85" s="106">
        <v>11686.71</v>
      </c>
      <c r="E85" s="106"/>
      <c r="F85" s="106">
        <v>571.96</v>
      </c>
      <c r="G85" s="106"/>
      <c r="H85" s="106">
        <v>460.84</v>
      </c>
      <c r="I85" s="106"/>
      <c r="J85" s="106">
        <f t="shared" si="0"/>
        <v>4239.8366666666661</v>
      </c>
      <c r="K85" s="106"/>
      <c r="L85" s="106">
        <v>7887</v>
      </c>
      <c r="M85" s="106"/>
      <c r="N85" s="106">
        <v>4200</v>
      </c>
      <c r="O85" s="106">
        <f t="shared" si="5"/>
        <v>-3687</v>
      </c>
      <c r="P85" s="4"/>
    </row>
    <row r="86" spans="1:18" x14ac:dyDescent="0.3">
      <c r="A86" s="4" t="s">
        <v>265</v>
      </c>
      <c r="B86" s="4" t="s">
        <v>266</v>
      </c>
      <c r="C86" s="4"/>
      <c r="D86" s="106">
        <v>25089.29</v>
      </c>
      <c r="E86" s="106"/>
      <c r="F86" s="106">
        <v>5352.22</v>
      </c>
      <c r="G86" s="106"/>
      <c r="H86" s="106">
        <v>5379.42</v>
      </c>
      <c r="I86" s="106"/>
      <c r="J86" s="106">
        <f t="shared" si="0"/>
        <v>11940.31</v>
      </c>
      <c r="K86" s="106"/>
      <c r="L86" s="106">
        <v>14600</v>
      </c>
      <c r="M86" s="106"/>
      <c r="N86" s="106">
        <v>11900</v>
      </c>
      <c r="O86" s="106">
        <f t="shared" si="5"/>
        <v>-2700</v>
      </c>
      <c r="P86" s="4"/>
    </row>
    <row r="87" spans="1:18" x14ac:dyDescent="0.3">
      <c r="A87" s="4" t="s">
        <v>267</v>
      </c>
      <c r="B87" s="4" t="s">
        <v>268</v>
      </c>
      <c r="C87" s="4"/>
      <c r="D87" s="106">
        <v>600.52</v>
      </c>
      <c r="E87" s="106"/>
      <c r="F87" s="106">
        <v>1114.75</v>
      </c>
      <c r="G87" s="106"/>
      <c r="H87" s="106">
        <v>914.09</v>
      </c>
      <c r="I87" s="106"/>
      <c r="J87" s="106">
        <f t="shared" ref="J87:J161" si="6">(+D87+F87+H87)/3</f>
        <v>876.45333333333338</v>
      </c>
      <c r="K87" s="106"/>
      <c r="L87" s="106">
        <v>662</v>
      </c>
      <c r="M87" s="106"/>
      <c r="N87" s="106">
        <v>900</v>
      </c>
      <c r="O87" s="106">
        <f t="shared" si="5"/>
        <v>238</v>
      </c>
      <c r="P87" s="4"/>
    </row>
    <row r="88" spans="1:18" x14ac:dyDescent="0.3">
      <c r="A88" s="4" t="s">
        <v>269</v>
      </c>
      <c r="B88" s="4" t="s">
        <v>270</v>
      </c>
      <c r="C88" s="4"/>
      <c r="D88" s="106">
        <v>0</v>
      </c>
      <c r="E88" s="106"/>
      <c r="F88" s="106">
        <v>0</v>
      </c>
      <c r="G88" s="106"/>
      <c r="H88" s="106">
        <v>0</v>
      </c>
      <c r="I88" s="106"/>
      <c r="J88" s="106">
        <f t="shared" si="6"/>
        <v>0</v>
      </c>
      <c r="K88" s="106"/>
      <c r="L88" s="106">
        <v>0</v>
      </c>
      <c r="M88" s="106"/>
      <c r="N88" s="106">
        <v>0</v>
      </c>
      <c r="O88" s="106">
        <f t="shared" si="5"/>
        <v>0</v>
      </c>
      <c r="P88" s="4"/>
    </row>
    <row r="89" spans="1:18" x14ac:dyDescent="0.3">
      <c r="A89" s="4" t="s">
        <v>591</v>
      </c>
      <c r="B89" s="4" t="s">
        <v>592</v>
      </c>
      <c r="C89" s="4"/>
      <c r="D89" s="106">
        <v>0</v>
      </c>
      <c r="E89" s="106"/>
      <c r="F89" s="106">
        <v>306.47000000000003</v>
      </c>
      <c r="G89" s="106"/>
      <c r="H89" s="106">
        <v>321.79000000000002</v>
      </c>
      <c r="I89" s="106"/>
      <c r="J89" s="106">
        <f t="shared" si="6"/>
        <v>209.42</v>
      </c>
      <c r="K89" s="106"/>
      <c r="L89" s="106">
        <v>102</v>
      </c>
      <c r="M89" s="106"/>
      <c r="N89" s="106">
        <v>200</v>
      </c>
      <c r="O89" s="106">
        <f t="shared" si="5"/>
        <v>98</v>
      </c>
      <c r="P89" s="4"/>
    </row>
    <row r="90" spans="1:18" x14ac:dyDescent="0.3">
      <c r="A90" s="4" t="s">
        <v>271</v>
      </c>
      <c r="B90" s="4" t="s">
        <v>272</v>
      </c>
      <c r="C90" s="4"/>
      <c r="D90" s="106">
        <v>63097.85</v>
      </c>
      <c r="E90" s="106"/>
      <c r="F90" s="106">
        <v>67946.240000000005</v>
      </c>
      <c r="G90" s="106"/>
      <c r="H90" s="106">
        <v>66778.33</v>
      </c>
      <c r="I90" s="106"/>
      <c r="J90" s="106">
        <f t="shared" si="6"/>
        <v>65940.806666666656</v>
      </c>
      <c r="K90" s="106"/>
      <c r="L90" s="106">
        <v>64030</v>
      </c>
      <c r="M90" s="106"/>
      <c r="N90" s="106">
        <v>65900</v>
      </c>
      <c r="O90" s="106">
        <f t="shared" si="5"/>
        <v>1870</v>
      </c>
      <c r="P90" s="4"/>
    </row>
    <row r="91" spans="1:18" x14ac:dyDescent="0.3">
      <c r="A91" s="4" t="s">
        <v>273</v>
      </c>
      <c r="B91" s="4" t="s">
        <v>274</v>
      </c>
      <c r="C91" s="4"/>
      <c r="D91" s="106">
        <v>32679.86</v>
      </c>
      <c r="E91" s="106"/>
      <c r="F91" s="106">
        <v>28119.15</v>
      </c>
      <c r="G91" s="106"/>
      <c r="H91" s="106">
        <v>25221.84</v>
      </c>
      <c r="I91" s="106"/>
      <c r="J91" s="106">
        <f t="shared" si="6"/>
        <v>28673.616666666669</v>
      </c>
      <c r="K91" s="106"/>
      <c r="L91" s="106">
        <v>31802</v>
      </c>
      <c r="M91" s="106"/>
      <c r="N91" s="106">
        <v>28700</v>
      </c>
      <c r="O91" s="106">
        <f t="shared" si="5"/>
        <v>-3102</v>
      </c>
      <c r="P91" s="4"/>
    </row>
    <row r="92" spans="1:18" x14ac:dyDescent="0.3">
      <c r="A92" s="4" t="s">
        <v>275</v>
      </c>
      <c r="B92" s="4" t="s">
        <v>276</v>
      </c>
      <c r="C92" s="4"/>
      <c r="D92" s="106">
        <v>0</v>
      </c>
      <c r="E92" s="106"/>
      <c r="F92" s="106">
        <v>0</v>
      </c>
      <c r="G92" s="106"/>
      <c r="H92" s="106">
        <v>0</v>
      </c>
      <c r="I92" s="106"/>
      <c r="J92" s="106">
        <f t="shared" si="6"/>
        <v>0</v>
      </c>
      <c r="K92" s="106"/>
      <c r="L92" s="106">
        <v>0</v>
      </c>
      <c r="M92" s="106"/>
      <c r="N92" s="106">
        <v>0</v>
      </c>
      <c r="O92" s="106">
        <f t="shared" si="5"/>
        <v>0</v>
      </c>
      <c r="P92" s="4"/>
    </row>
    <row r="93" spans="1:18" x14ac:dyDescent="0.3">
      <c r="A93" s="4" t="s">
        <v>532</v>
      </c>
      <c r="B93" s="4" t="s">
        <v>277</v>
      </c>
      <c r="C93" s="4"/>
      <c r="D93" s="106">
        <v>0</v>
      </c>
      <c r="E93" s="106"/>
      <c r="F93" s="106">
        <v>0</v>
      </c>
      <c r="G93" s="106"/>
      <c r="H93" s="106">
        <v>0</v>
      </c>
      <c r="I93" s="106"/>
      <c r="J93" s="106">
        <f t="shared" si="6"/>
        <v>0</v>
      </c>
      <c r="K93" s="106"/>
      <c r="L93" s="106">
        <v>0</v>
      </c>
      <c r="M93" s="106"/>
      <c r="N93" s="106">
        <v>0</v>
      </c>
      <c r="O93" s="106">
        <f t="shared" si="5"/>
        <v>0</v>
      </c>
      <c r="P93" s="4"/>
    </row>
    <row r="94" spans="1:18" x14ac:dyDescent="0.3">
      <c r="A94" s="4" t="s">
        <v>559</v>
      </c>
      <c r="B94" s="4" t="s">
        <v>560</v>
      </c>
      <c r="C94" s="4"/>
      <c r="D94" s="106">
        <v>305.79000000000002</v>
      </c>
      <c r="E94" s="106"/>
      <c r="F94" s="106">
        <v>617.54999999999995</v>
      </c>
      <c r="G94" s="106"/>
      <c r="H94" s="106">
        <v>430.36</v>
      </c>
      <c r="I94" s="106"/>
      <c r="J94" s="106">
        <f t="shared" si="6"/>
        <v>451.23333333333329</v>
      </c>
      <c r="K94" s="106"/>
      <c r="L94" s="106">
        <v>388</v>
      </c>
      <c r="M94" s="106"/>
      <c r="N94" s="106">
        <v>500</v>
      </c>
      <c r="O94" s="106">
        <f t="shared" si="5"/>
        <v>112</v>
      </c>
      <c r="P94" s="4"/>
    </row>
    <row r="95" spans="1:18" x14ac:dyDescent="0.3">
      <c r="A95" s="4" t="s">
        <v>593</v>
      </c>
      <c r="B95" s="4" t="s">
        <v>594</v>
      </c>
      <c r="C95" s="4"/>
      <c r="D95" s="106">
        <v>0</v>
      </c>
      <c r="E95" s="106"/>
      <c r="F95" s="106">
        <v>15521.26</v>
      </c>
      <c r="G95" s="106"/>
      <c r="H95" s="106">
        <v>16289.79</v>
      </c>
      <c r="I95" s="106"/>
      <c r="J95" s="106">
        <f t="shared" si="6"/>
        <v>10603.683333333334</v>
      </c>
      <c r="K95" s="106"/>
      <c r="L95" s="106">
        <v>5174</v>
      </c>
      <c r="M95" s="106"/>
      <c r="N95" s="106">
        <v>10600</v>
      </c>
      <c r="O95" s="106">
        <f t="shared" si="5"/>
        <v>5426</v>
      </c>
      <c r="P95" s="4"/>
    </row>
    <row r="96" spans="1:18" x14ac:dyDescent="0.3">
      <c r="A96" s="4" t="s">
        <v>278</v>
      </c>
      <c r="B96" s="4" t="s">
        <v>279</v>
      </c>
      <c r="C96" s="4"/>
      <c r="D96" s="106">
        <v>4935.88</v>
      </c>
      <c r="E96" s="106"/>
      <c r="F96" s="106">
        <v>1582.53</v>
      </c>
      <c r="G96" s="106"/>
      <c r="H96" s="106">
        <v>2313.75</v>
      </c>
      <c r="I96" s="106"/>
      <c r="J96" s="106">
        <f t="shared" si="6"/>
        <v>2944.0533333333333</v>
      </c>
      <c r="K96" s="106"/>
      <c r="L96" s="106">
        <v>3986</v>
      </c>
      <c r="M96" s="106"/>
      <c r="N96" s="106">
        <v>2900</v>
      </c>
      <c r="O96" s="106">
        <f t="shared" si="5"/>
        <v>-1086</v>
      </c>
      <c r="P96" s="4"/>
    </row>
    <row r="97" spans="1:16" x14ac:dyDescent="0.3">
      <c r="A97" s="4" t="s">
        <v>280</v>
      </c>
      <c r="B97" s="4" t="s">
        <v>281</v>
      </c>
      <c r="C97" s="4"/>
      <c r="D97" s="106">
        <v>0</v>
      </c>
      <c r="E97" s="106"/>
      <c r="F97" s="106">
        <v>0</v>
      </c>
      <c r="G97" s="106"/>
      <c r="H97" s="106">
        <v>0</v>
      </c>
      <c r="I97" s="106"/>
      <c r="J97" s="106">
        <f t="shared" si="6"/>
        <v>0</v>
      </c>
      <c r="K97" s="106"/>
      <c r="L97" s="106">
        <v>0</v>
      </c>
      <c r="M97" s="106"/>
      <c r="N97" s="106">
        <v>0</v>
      </c>
      <c r="O97" s="106">
        <f t="shared" si="5"/>
        <v>0</v>
      </c>
      <c r="P97" s="4"/>
    </row>
    <row r="98" spans="1:16" x14ac:dyDescent="0.3">
      <c r="A98" s="4" t="s">
        <v>282</v>
      </c>
      <c r="B98" s="4" t="s">
        <v>283</v>
      </c>
      <c r="C98" s="4"/>
      <c r="D98" s="106">
        <v>1607.46</v>
      </c>
      <c r="E98" s="106"/>
      <c r="F98" s="106">
        <v>10738.01</v>
      </c>
      <c r="G98" s="106"/>
      <c r="H98" s="106">
        <v>-9160.6299999999992</v>
      </c>
      <c r="I98" s="106"/>
      <c r="J98" s="106">
        <f t="shared" si="6"/>
        <v>1061.6133333333339</v>
      </c>
      <c r="K98" s="106"/>
      <c r="L98" s="106">
        <v>7568</v>
      </c>
      <c r="M98" s="106"/>
      <c r="N98" s="106">
        <v>1100</v>
      </c>
      <c r="O98" s="106">
        <f t="shared" si="5"/>
        <v>-6468</v>
      </c>
      <c r="P98" s="4"/>
    </row>
    <row r="99" spans="1:16" x14ac:dyDescent="0.3">
      <c r="A99" s="4" t="s">
        <v>284</v>
      </c>
      <c r="B99" s="4" t="s">
        <v>285</v>
      </c>
      <c r="C99" s="4"/>
      <c r="D99" s="106">
        <v>4062.89</v>
      </c>
      <c r="E99" s="106"/>
      <c r="F99" s="106">
        <v>2689.52</v>
      </c>
      <c r="G99" s="106"/>
      <c r="H99" s="106">
        <v>2995.82</v>
      </c>
      <c r="I99" s="106"/>
      <c r="J99" s="106">
        <f t="shared" si="6"/>
        <v>3249.41</v>
      </c>
      <c r="K99" s="106"/>
      <c r="L99" s="106">
        <v>3869</v>
      </c>
      <c r="M99" s="106"/>
      <c r="N99" s="106">
        <v>3200</v>
      </c>
      <c r="O99" s="106">
        <f t="shared" si="5"/>
        <v>-669</v>
      </c>
      <c r="P99" s="4"/>
    </row>
    <row r="100" spans="1:16" x14ac:dyDescent="0.3">
      <c r="A100" s="4" t="s">
        <v>286</v>
      </c>
      <c r="B100" s="4" t="s">
        <v>287</v>
      </c>
      <c r="C100" s="4"/>
      <c r="D100" s="106">
        <v>9444.41</v>
      </c>
      <c r="E100" s="106"/>
      <c r="F100" s="106">
        <v>6676.13</v>
      </c>
      <c r="G100" s="106"/>
      <c r="H100" s="106">
        <v>9474.68</v>
      </c>
      <c r="I100" s="106"/>
      <c r="J100" s="106">
        <f t="shared" si="6"/>
        <v>8531.74</v>
      </c>
      <c r="K100" s="106"/>
      <c r="L100" s="106">
        <v>8049</v>
      </c>
      <c r="M100" s="106"/>
      <c r="N100" s="106">
        <v>8500</v>
      </c>
      <c r="O100" s="106">
        <f t="shared" si="5"/>
        <v>451</v>
      </c>
      <c r="P100" s="4"/>
    </row>
    <row r="101" spans="1:16" x14ac:dyDescent="0.3">
      <c r="A101" s="4" t="s">
        <v>288</v>
      </c>
      <c r="B101" s="4" t="s">
        <v>289</v>
      </c>
      <c r="C101" s="4"/>
      <c r="D101" s="106">
        <v>5700.93</v>
      </c>
      <c r="E101" s="106"/>
      <c r="F101" s="106">
        <v>3464.25</v>
      </c>
      <c r="G101" s="106"/>
      <c r="H101" s="106">
        <v>3413.49</v>
      </c>
      <c r="I101" s="106"/>
      <c r="J101" s="106">
        <f t="shared" si="6"/>
        <v>4192.8900000000003</v>
      </c>
      <c r="K101" s="106"/>
      <c r="L101" s="106">
        <v>5621</v>
      </c>
      <c r="M101" s="106"/>
      <c r="N101" s="106">
        <v>4200</v>
      </c>
      <c r="O101" s="106">
        <f t="shared" si="5"/>
        <v>-1421</v>
      </c>
      <c r="P101" s="4"/>
    </row>
    <row r="102" spans="1:16" x14ac:dyDescent="0.3">
      <c r="A102" s="4" t="s">
        <v>290</v>
      </c>
      <c r="B102" s="4" t="s">
        <v>291</v>
      </c>
      <c r="C102" s="4"/>
      <c r="D102" s="106">
        <v>4199.79</v>
      </c>
      <c r="E102" s="106"/>
      <c r="F102" s="106">
        <v>4447.6000000000004</v>
      </c>
      <c r="G102" s="106"/>
      <c r="H102" s="106">
        <v>4711.47</v>
      </c>
      <c r="I102" s="106"/>
      <c r="J102" s="106">
        <f t="shared" si="6"/>
        <v>4452.9533333333338</v>
      </c>
      <c r="K102" s="106"/>
      <c r="L102" s="106">
        <v>3762</v>
      </c>
      <c r="M102" s="106"/>
      <c r="N102" s="106">
        <v>4500</v>
      </c>
      <c r="O102" s="106">
        <f t="shared" si="5"/>
        <v>738</v>
      </c>
      <c r="P102" s="4"/>
    </row>
    <row r="103" spans="1:16" x14ac:dyDescent="0.3">
      <c r="A103" s="4" t="s">
        <v>292</v>
      </c>
      <c r="B103" s="4" t="s">
        <v>293</v>
      </c>
      <c r="C103" s="4"/>
      <c r="D103" s="106">
        <v>6615</v>
      </c>
      <c r="E103" s="106"/>
      <c r="F103" s="106">
        <v>7176</v>
      </c>
      <c r="G103" s="106"/>
      <c r="H103" s="106">
        <v>7126.26</v>
      </c>
      <c r="I103" s="106"/>
      <c r="J103" s="106">
        <f t="shared" si="6"/>
        <v>6972.420000000001</v>
      </c>
      <c r="K103" s="106"/>
      <c r="L103" s="106">
        <v>6812</v>
      </c>
      <c r="M103" s="106"/>
      <c r="N103" s="106">
        <v>7000</v>
      </c>
      <c r="O103" s="106">
        <f t="shared" si="5"/>
        <v>188</v>
      </c>
      <c r="P103" s="4"/>
    </row>
    <row r="104" spans="1:16" x14ac:dyDescent="0.3">
      <c r="A104" s="4" t="s">
        <v>294</v>
      </c>
      <c r="B104" s="4" t="s">
        <v>295</v>
      </c>
      <c r="C104" s="4"/>
      <c r="D104" s="106">
        <v>66069.990000000005</v>
      </c>
      <c r="E104" s="106"/>
      <c r="F104" s="106">
        <v>54462.47</v>
      </c>
      <c r="G104" s="106"/>
      <c r="H104" s="106">
        <v>64076.59</v>
      </c>
      <c r="I104" s="106"/>
      <c r="J104" s="106">
        <f t="shared" si="6"/>
        <v>61536.35</v>
      </c>
      <c r="K104" s="106"/>
      <c r="L104" s="106">
        <v>61128</v>
      </c>
      <c r="M104" s="106"/>
      <c r="N104" s="106">
        <v>61500</v>
      </c>
      <c r="O104" s="106">
        <f t="shared" si="5"/>
        <v>372</v>
      </c>
      <c r="P104" s="4"/>
    </row>
    <row r="105" spans="1:16" x14ac:dyDescent="0.3">
      <c r="A105" s="4" t="s">
        <v>296</v>
      </c>
      <c r="B105" s="4" t="s">
        <v>297</v>
      </c>
      <c r="C105" s="4"/>
      <c r="D105" s="106">
        <v>0</v>
      </c>
      <c r="E105" s="106"/>
      <c r="F105" s="106">
        <v>0</v>
      </c>
      <c r="G105" s="106"/>
      <c r="H105" s="106">
        <v>0</v>
      </c>
      <c r="I105" s="106"/>
      <c r="J105" s="106">
        <f t="shared" si="6"/>
        <v>0</v>
      </c>
      <c r="K105" s="106"/>
      <c r="L105" s="106">
        <v>0</v>
      </c>
      <c r="M105" s="106"/>
      <c r="N105" s="106">
        <v>0</v>
      </c>
      <c r="O105" s="106">
        <f t="shared" si="5"/>
        <v>0</v>
      </c>
      <c r="P105" s="4"/>
    </row>
    <row r="106" spans="1:16" x14ac:dyDescent="0.3">
      <c r="A106" s="4" t="s">
        <v>298</v>
      </c>
      <c r="B106" s="4" t="s">
        <v>299</v>
      </c>
      <c r="C106" s="4"/>
      <c r="D106" s="106">
        <v>0</v>
      </c>
      <c r="E106" s="106"/>
      <c r="F106" s="106">
        <v>0</v>
      </c>
      <c r="G106" s="106"/>
      <c r="H106" s="106">
        <v>0</v>
      </c>
      <c r="I106" s="106"/>
      <c r="J106" s="106">
        <f t="shared" si="6"/>
        <v>0</v>
      </c>
      <c r="K106" s="106"/>
      <c r="L106" s="106">
        <v>0</v>
      </c>
      <c r="M106" s="106"/>
      <c r="N106" s="106">
        <v>0</v>
      </c>
      <c r="O106" s="106">
        <f t="shared" si="5"/>
        <v>0</v>
      </c>
      <c r="P106" s="4"/>
    </row>
    <row r="107" spans="1:16" x14ac:dyDescent="0.3">
      <c r="A107" s="4" t="s">
        <v>595</v>
      </c>
      <c r="B107" s="4" t="s">
        <v>596</v>
      </c>
      <c r="C107" s="4"/>
      <c r="D107" s="106">
        <v>0</v>
      </c>
      <c r="E107" s="106"/>
      <c r="F107" s="106">
        <v>50</v>
      </c>
      <c r="G107" s="106"/>
      <c r="H107" s="106">
        <v>78849.09</v>
      </c>
      <c r="I107" s="106"/>
      <c r="J107" s="106">
        <f t="shared" si="6"/>
        <v>26299.696666666667</v>
      </c>
      <c r="K107" s="106"/>
      <c r="L107" s="106">
        <v>0</v>
      </c>
      <c r="M107" s="106"/>
      <c r="N107" s="106">
        <v>0</v>
      </c>
      <c r="O107" s="106">
        <f t="shared" si="5"/>
        <v>0</v>
      </c>
      <c r="P107" s="4"/>
    </row>
    <row r="108" spans="1:16" x14ac:dyDescent="0.3">
      <c r="A108" s="4" t="s">
        <v>300</v>
      </c>
      <c r="B108" s="4" t="s">
        <v>301</v>
      </c>
      <c r="C108" s="4"/>
      <c r="D108" s="106">
        <v>660.47</v>
      </c>
      <c r="E108" s="106"/>
      <c r="F108" s="106">
        <v>830</v>
      </c>
      <c r="G108" s="106"/>
      <c r="H108" s="106">
        <v>850</v>
      </c>
      <c r="I108" s="106"/>
      <c r="J108" s="106">
        <f t="shared" si="6"/>
        <v>780.15666666666675</v>
      </c>
      <c r="K108" s="106"/>
      <c r="L108" s="106">
        <v>743</v>
      </c>
      <c r="M108" s="106"/>
      <c r="N108" s="106">
        <v>800</v>
      </c>
      <c r="O108" s="106">
        <f t="shared" si="5"/>
        <v>57</v>
      </c>
      <c r="P108" s="4"/>
    </row>
    <row r="109" spans="1:16" x14ac:dyDescent="0.3">
      <c r="A109" s="4" t="s">
        <v>302</v>
      </c>
      <c r="B109" s="4" t="s">
        <v>303</v>
      </c>
      <c r="C109" s="4"/>
      <c r="D109" s="106">
        <v>706.6</v>
      </c>
      <c r="E109" s="106"/>
      <c r="F109" s="106">
        <v>616.24</v>
      </c>
      <c r="G109" s="106"/>
      <c r="H109" s="106">
        <v>782.31</v>
      </c>
      <c r="I109" s="106"/>
      <c r="J109" s="106">
        <f t="shared" si="6"/>
        <v>701.7166666666667</v>
      </c>
      <c r="K109" s="106"/>
      <c r="L109" s="106">
        <v>773</v>
      </c>
      <c r="M109" s="106"/>
      <c r="N109" s="106">
        <v>700</v>
      </c>
      <c r="O109" s="106">
        <f t="shared" si="5"/>
        <v>-73</v>
      </c>
      <c r="P109" s="4"/>
    </row>
    <row r="110" spans="1:16" x14ac:dyDescent="0.3">
      <c r="A110" s="4" t="s">
        <v>304</v>
      </c>
      <c r="B110" s="4" t="s">
        <v>305</v>
      </c>
      <c r="C110" s="4"/>
      <c r="D110" s="106">
        <v>3605</v>
      </c>
      <c r="E110" s="106"/>
      <c r="F110" s="106">
        <v>3361.93</v>
      </c>
      <c r="G110" s="106"/>
      <c r="H110" s="106">
        <v>3788.67</v>
      </c>
      <c r="I110" s="106"/>
      <c r="J110" s="106">
        <f t="shared" si="6"/>
        <v>3585.2000000000003</v>
      </c>
      <c r="K110" s="106"/>
      <c r="L110" s="106">
        <v>3202</v>
      </c>
      <c r="M110" s="106"/>
      <c r="N110" s="106">
        <v>3600</v>
      </c>
      <c r="O110" s="106">
        <f t="shared" si="5"/>
        <v>398</v>
      </c>
      <c r="P110" s="4"/>
    </row>
    <row r="111" spans="1:16" x14ac:dyDescent="0.3">
      <c r="A111" s="4" t="s">
        <v>306</v>
      </c>
      <c r="B111" s="4" t="s">
        <v>307</v>
      </c>
      <c r="C111" s="4"/>
      <c r="D111" s="106">
        <v>130.94999999999999</v>
      </c>
      <c r="E111" s="106"/>
      <c r="F111" s="106">
        <v>97.16</v>
      </c>
      <c r="G111" s="106"/>
      <c r="H111" s="106">
        <v>118.18</v>
      </c>
      <c r="I111" s="106"/>
      <c r="J111" s="106">
        <f t="shared" si="6"/>
        <v>115.42999999999999</v>
      </c>
      <c r="K111" s="106"/>
      <c r="L111" s="106">
        <v>116</v>
      </c>
      <c r="M111" s="106"/>
      <c r="N111" s="106">
        <v>100</v>
      </c>
      <c r="O111" s="106">
        <f t="shared" si="5"/>
        <v>-16</v>
      </c>
      <c r="P111" s="4"/>
    </row>
    <row r="112" spans="1:16" x14ac:dyDescent="0.3">
      <c r="A112" s="4" t="s">
        <v>308</v>
      </c>
      <c r="B112" s="4" t="s">
        <v>309</v>
      </c>
      <c r="C112" s="4"/>
      <c r="D112" s="106">
        <v>41414.339999999997</v>
      </c>
      <c r="E112" s="106"/>
      <c r="F112" s="106">
        <v>21942.74</v>
      </c>
      <c r="G112" s="106"/>
      <c r="H112" s="106">
        <v>60121.74</v>
      </c>
      <c r="I112" s="106"/>
      <c r="J112" s="106">
        <f t="shared" si="6"/>
        <v>41159.606666666667</v>
      </c>
      <c r="K112" s="106"/>
      <c r="L112" s="106">
        <v>38025</v>
      </c>
      <c r="M112" s="106"/>
      <c r="N112" s="106">
        <v>41100</v>
      </c>
      <c r="O112" s="106">
        <f t="shared" si="5"/>
        <v>3075</v>
      </c>
      <c r="P112" s="4"/>
    </row>
    <row r="113" spans="1:16" x14ac:dyDescent="0.3">
      <c r="A113" s="4" t="s">
        <v>310</v>
      </c>
      <c r="B113" s="4" t="s">
        <v>311</v>
      </c>
      <c r="C113" s="4"/>
      <c r="D113" s="106">
        <v>10517.24</v>
      </c>
      <c r="E113" s="106"/>
      <c r="F113" s="106">
        <v>9728.15</v>
      </c>
      <c r="G113" s="106"/>
      <c r="H113" s="106">
        <v>6486.35</v>
      </c>
      <c r="I113" s="106"/>
      <c r="J113" s="106">
        <f t="shared" si="6"/>
        <v>8910.58</v>
      </c>
      <c r="K113" s="106"/>
      <c r="L113" s="106">
        <v>10589</v>
      </c>
      <c r="M113" s="106"/>
      <c r="N113" s="106">
        <v>8900</v>
      </c>
      <c r="O113" s="106">
        <f t="shared" si="5"/>
        <v>-1689</v>
      </c>
      <c r="P113" s="4"/>
    </row>
    <row r="114" spans="1:16" x14ac:dyDescent="0.3">
      <c r="A114" s="4" t="s">
        <v>312</v>
      </c>
      <c r="B114" s="4" t="s">
        <v>313</v>
      </c>
      <c r="C114" s="4"/>
      <c r="D114" s="106">
        <v>1592.89</v>
      </c>
      <c r="E114" s="106"/>
      <c r="F114" s="106">
        <v>1559.03</v>
      </c>
      <c r="G114" s="106"/>
      <c r="H114" s="106">
        <v>1577</v>
      </c>
      <c r="I114" s="106"/>
      <c r="J114" s="106">
        <f t="shared" si="6"/>
        <v>1576.3066666666666</v>
      </c>
      <c r="K114" s="106"/>
      <c r="L114" s="106">
        <v>1644</v>
      </c>
      <c r="M114" s="106"/>
      <c r="N114" s="106">
        <v>1600</v>
      </c>
      <c r="O114" s="106">
        <f t="shared" si="5"/>
        <v>-44</v>
      </c>
      <c r="P114" s="4"/>
    </row>
    <row r="115" spans="1:16" x14ac:dyDescent="0.3">
      <c r="A115" s="4" t="s">
        <v>314</v>
      </c>
      <c r="B115" s="4" t="s">
        <v>315</v>
      </c>
      <c r="C115" s="4"/>
      <c r="D115" s="106">
        <v>3150.04</v>
      </c>
      <c r="E115" s="106"/>
      <c r="F115" s="106">
        <v>2031.1</v>
      </c>
      <c r="G115" s="106"/>
      <c r="H115" s="106">
        <v>1386.12</v>
      </c>
      <c r="I115" s="106"/>
      <c r="J115" s="106">
        <f t="shared" si="6"/>
        <v>2189.0866666666666</v>
      </c>
      <c r="K115" s="106"/>
      <c r="L115" s="106">
        <v>2939</v>
      </c>
      <c r="M115" s="106"/>
      <c r="N115" s="106">
        <v>2200</v>
      </c>
      <c r="O115" s="106">
        <f t="shared" si="5"/>
        <v>-739</v>
      </c>
      <c r="P115" s="4"/>
    </row>
    <row r="116" spans="1:16" x14ac:dyDescent="0.3">
      <c r="A116" s="4" t="s">
        <v>316</v>
      </c>
      <c r="B116" s="4" t="s">
        <v>317</v>
      </c>
      <c r="C116" s="4"/>
      <c r="D116" s="106">
        <v>1780.64</v>
      </c>
      <c r="E116" s="106"/>
      <c r="F116" s="106">
        <v>2456.34</v>
      </c>
      <c r="G116" s="106"/>
      <c r="H116" s="106">
        <v>2345</v>
      </c>
      <c r="I116" s="106"/>
      <c r="J116" s="106">
        <f t="shared" si="6"/>
        <v>2193.9933333333333</v>
      </c>
      <c r="K116" s="106"/>
      <c r="L116" s="106">
        <v>2268</v>
      </c>
      <c r="M116" s="106"/>
      <c r="N116" s="106">
        <v>2200</v>
      </c>
      <c r="O116" s="106">
        <f t="shared" si="5"/>
        <v>-68</v>
      </c>
      <c r="P116" s="4"/>
    </row>
    <row r="117" spans="1:16" x14ac:dyDescent="0.3">
      <c r="A117" s="4" t="s">
        <v>318</v>
      </c>
      <c r="B117" s="4" t="s">
        <v>319</v>
      </c>
      <c r="C117" s="4"/>
      <c r="D117" s="106">
        <v>2401.2399999999998</v>
      </c>
      <c r="E117" s="106"/>
      <c r="F117" s="106">
        <v>1904.38</v>
      </c>
      <c r="G117" s="106"/>
      <c r="H117" s="106">
        <v>1675.5</v>
      </c>
      <c r="I117" s="106"/>
      <c r="J117" s="106">
        <f t="shared" si="6"/>
        <v>1993.7066666666667</v>
      </c>
      <c r="K117" s="106"/>
      <c r="L117" s="106">
        <v>2475</v>
      </c>
      <c r="M117" s="106"/>
      <c r="N117" s="106">
        <v>2000</v>
      </c>
      <c r="O117" s="106">
        <f>+N117-L117</f>
        <v>-475</v>
      </c>
      <c r="P117" s="4"/>
    </row>
    <row r="118" spans="1:16" x14ac:dyDescent="0.3">
      <c r="A118" s="4" t="s">
        <v>320</v>
      </c>
      <c r="B118" s="4" t="s">
        <v>321</v>
      </c>
      <c r="C118" s="4"/>
      <c r="D118" s="106">
        <v>183026.43</v>
      </c>
      <c r="E118" s="106"/>
      <c r="F118" s="106">
        <v>112946.47</v>
      </c>
      <c r="G118" s="106"/>
      <c r="H118" s="106">
        <v>83232.539999999994</v>
      </c>
      <c r="I118" s="106"/>
      <c r="J118" s="106">
        <f t="shared" si="6"/>
        <v>126401.81333333334</v>
      </c>
      <c r="K118" s="106"/>
      <c r="L118" s="106">
        <v>170993</v>
      </c>
      <c r="M118" s="106"/>
      <c r="N118" s="106">
        <v>126400</v>
      </c>
      <c r="O118" s="106">
        <f>+N118-L118</f>
        <v>-44593</v>
      </c>
      <c r="P118" s="4"/>
    </row>
    <row r="119" spans="1:16" x14ac:dyDescent="0.3">
      <c r="A119" s="4" t="s">
        <v>322</v>
      </c>
      <c r="B119" s="4" t="s">
        <v>323</v>
      </c>
      <c r="C119" s="4"/>
      <c r="D119" s="106">
        <v>15987.5</v>
      </c>
      <c r="E119" s="106"/>
      <c r="F119" s="106">
        <v>8060</v>
      </c>
      <c r="G119" s="106"/>
      <c r="H119" s="106">
        <v>10815.64</v>
      </c>
      <c r="I119" s="106"/>
      <c r="J119" s="106">
        <f t="shared" si="6"/>
        <v>11621.046666666667</v>
      </c>
      <c r="K119" s="106"/>
      <c r="L119" s="106">
        <v>12866</v>
      </c>
      <c r="M119" s="106"/>
      <c r="N119" s="106">
        <v>11600</v>
      </c>
      <c r="O119" s="106">
        <f t="shared" si="5"/>
        <v>-1266</v>
      </c>
      <c r="P119" s="4"/>
    </row>
    <row r="120" spans="1:16" x14ac:dyDescent="0.3">
      <c r="A120" s="4" t="s">
        <v>324</v>
      </c>
      <c r="B120" s="4" t="s">
        <v>325</v>
      </c>
      <c r="C120" s="4"/>
      <c r="D120" s="106">
        <v>3243</v>
      </c>
      <c r="E120" s="106"/>
      <c r="F120" s="106">
        <v>1894.2</v>
      </c>
      <c r="G120" s="106"/>
      <c r="H120" s="106">
        <v>1818.76</v>
      </c>
      <c r="I120" s="106"/>
      <c r="J120" s="106">
        <f t="shared" si="6"/>
        <v>2318.6533333333332</v>
      </c>
      <c r="K120" s="106"/>
      <c r="L120" s="106">
        <v>4133</v>
      </c>
      <c r="M120" s="106"/>
      <c r="N120" s="106">
        <v>2300</v>
      </c>
      <c r="O120" s="106">
        <f t="shared" si="5"/>
        <v>-1833</v>
      </c>
      <c r="P120" s="4"/>
    </row>
    <row r="121" spans="1:16" x14ac:dyDescent="0.3">
      <c r="A121" s="4" t="s">
        <v>326</v>
      </c>
      <c r="B121" s="4" t="s">
        <v>327</v>
      </c>
      <c r="C121" s="4"/>
      <c r="D121" s="106">
        <v>57144.11</v>
      </c>
      <c r="E121" s="106"/>
      <c r="F121" s="106">
        <v>40812.76</v>
      </c>
      <c r="G121" s="106"/>
      <c r="H121" s="106">
        <v>51521.2</v>
      </c>
      <c r="I121" s="106"/>
      <c r="J121" s="106">
        <f t="shared" si="6"/>
        <v>49826.023333333338</v>
      </c>
      <c r="K121" s="106"/>
      <c r="L121" s="106">
        <v>54295</v>
      </c>
      <c r="M121" s="106"/>
      <c r="N121" s="106">
        <v>49800</v>
      </c>
      <c r="O121" s="106">
        <f t="shared" si="5"/>
        <v>-4495</v>
      </c>
      <c r="P121" s="4"/>
    </row>
    <row r="122" spans="1:16" x14ac:dyDescent="0.3">
      <c r="A122" s="4" t="s">
        <v>328</v>
      </c>
      <c r="B122" s="4" t="s">
        <v>329</v>
      </c>
      <c r="C122" s="4"/>
      <c r="D122" s="106">
        <v>86157.82</v>
      </c>
      <c r="E122" s="106"/>
      <c r="F122" s="106">
        <v>90209.85</v>
      </c>
      <c r="G122" s="106"/>
      <c r="H122" s="106">
        <v>103651.1</v>
      </c>
      <c r="I122" s="106"/>
      <c r="J122" s="106">
        <f t="shared" si="6"/>
        <v>93339.590000000011</v>
      </c>
      <c r="K122" s="106"/>
      <c r="L122" s="106">
        <v>101620</v>
      </c>
      <c r="M122" s="106"/>
      <c r="N122" s="106">
        <v>93300</v>
      </c>
      <c r="O122" s="106">
        <f t="shared" si="5"/>
        <v>-8320</v>
      </c>
      <c r="P122" s="4"/>
    </row>
    <row r="123" spans="1:16" x14ac:dyDescent="0.3">
      <c r="A123" s="4" t="s">
        <v>330</v>
      </c>
      <c r="B123" s="4" t="s">
        <v>331</v>
      </c>
      <c r="C123" s="4"/>
      <c r="D123" s="106">
        <v>8000</v>
      </c>
      <c r="E123" s="106"/>
      <c r="F123" s="106">
        <v>6145</v>
      </c>
      <c r="G123" s="106"/>
      <c r="H123" s="106">
        <v>5731</v>
      </c>
      <c r="I123" s="106"/>
      <c r="J123" s="106">
        <f t="shared" si="6"/>
        <v>6625.333333333333</v>
      </c>
      <c r="K123" s="106"/>
      <c r="L123" s="106">
        <v>7028</v>
      </c>
      <c r="M123" s="106"/>
      <c r="N123" s="106">
        <v>6600</v>
      </c>
      <c r="O123" s="106">
        <f t="shared" si="5"/>
        <v>-428</v>
      </c>
      <c r="P123" s="4"/>
    </row>
    <row r="124" spans="1:16" x14ac:dyDescent="0.3">
      <c r="A124" s="4" t="s">
        <v>332</v>
      </c>
      <c r="B124" s="4" t="s">
        <v>333</v>
      </c>
      <c r="C124" s="4"/>
      <c r="D124" s="106">
        <v>1019</v>
      </c>
      <c r="E124" s="106"/>
      <c r="F124" s="106">
        <v>512.85</v>
      </c>
      <c r="G124" s="106"/>
      <c r="H124" s="106">
        <v>264.86</v>
      </c>
      <c r="I124" s="106"/>
      <c r="J124" s="106">
        <f t="shared" si="6"/>
        <v>598.90333333333331</v>
      </c>
      <c r="K124" s="106"/>
      <c r="L124" s="106">
        <v>1001</v>
      </c>
      <c r="M124" s="106"/>
      <c r="N124" s="106">
        <v>600</v>
      </c>
      <c r="O124" s="106">
        <f t="shared" si="5"/>
        <v>-401</v>
      </c>
      <c r="P124" s="4"/>
    </row>
    <row r="125" spans="1:16" x14ac:dyDescent="0.3">
      <c r="A125" s="4" t="s">
        <v>334</v>
      </c>
      <c r="B125" s="4" t="s">
        <v>335</v>
      </c>
      <c r="C125" s="4"/>
      <c r="D125" s="106">
        <v>29054</v>
      </c>
      <c r="E125" s="106"/>
      <c r="F125" s="106">
        <v>30789.48</v>
      </c>
      <c r="G125" s="106"/>
      <c r="H125" s="106">
        <v>25081.02</v>
      </c>
      <c r="I125" s="106"/>
      <c r="J125" s="106">
        <f t="shared" si="6"/>
        <v>28308.166666666668</v>
      </c>
      <c r="K125" s="106"/>
      <c r="L125" s="106">
        <v>35378</v>
      </c>
      <c r="M125" s="106"/>
      <c r="N125" s="106">
        <v>28300</v>
      </c>
      <c r="O125" s="106">
        <f t="shared" si="5"/>
        <v>-7078</v>
      </c>
      <c r="P125" s="4"/>
    </row>
    <row r="126" spans="1:16" x14ac:dyDescent="0.3">
      <c r="A126" s="4" t="s">
        <v>336</v>
      </c>
      <c r="B126" s="4" t="s">
        <v>337</v>
      </c>
      <c r="C126" s="4"/>
      <c r="D126" s="106">
        <v>77383.11</v>
      </c>
      <c r="E126" s="106"/>
      <c r="F126" s="106">
        <v>48632.53</v>
      </c>
      <c r="G126" s="106"/>
      <c r="H126" s="106">
        <v>46261.48</v>
      </c>
      <c r="I126" s="106"/>
      <c r="J126" s="106">
        <f t="shared" si="6"/>
        <v>57425.706666666665</v>
      </c>
      <c r="K126" s="106"/>
      <c r="L126" s="106">
        <v>64218</v>
      </c>
      <c r="M126" s="106"/>
      <c r="N126" s="106">
        <v>57400</v>
      </c>
      <c r="O126" s="106">
        <f t="shared" si="5"/>
        <v>-6818</v>
      </c>
      <c r="P126" s="4"/>
    </row>
    <row r="127" spans="1:16" x14ac:dyDescent="0.3">
      <c r="A127" s="4" t="s">
        <v>338</v>
      </c>
      <c r="B127" s="4" t="s">
        <v>339</v>
      </c>
      <c r="C127" s="4"/>
      <c r="D127" s="106">
        <v>8715</v>
      </c>
      <c r="E127" s="106"/>
      <c r="F127" s="106">
        <v>3560</v>
      </c>
      <c r="G127" s="106"/>
      <c r="H127" s="106">
        <v>2705</v>
      </c>
      <c r="I127" s="106"/>
      <c r="J127" s="106">
        <f t="shared" si="6"/>
        <v>4993.333333333333</v>
      </c>
      <c r="K127" s="106"/>
      <c r="L127" s="106">
        <v>5463</v>
      </c>
      <c r="M127" s="106"/>
      <c r="N127" s="106">
        <v>5000</v>
      </c>
      <c r="O127" s="106">
        <f t="shared" si="5"/>
        <v>-463</v>
      </c>
      <c r="P127" s="4"/>
    </row>
    <row r="128" spans="1:16" x14ac:dyDescent="0.3">
      <c r="A128" s="4" t="s">
        <v>340</v>
      </c>
      <c r="B128" s="4" t="s">
        <v>341</v>
      </c>
      <c r="C128" s="4"/>
      <c r="D128" s="106">
        <v>1027.5</v>
      </c>
      <c r="E128" s="106"/>
      <c r="F128" s="106">
        <v>386</v>
      </c>
      <c r="G128" s="106"/>
      <c r="H128" s="106">
        <v>329</v>
      </c>
      <c r="I128" s="106"/>
      <c r="J128" s="106">
        <f t="shared" si="6"/>
        <v>580.83333333333337</v>
      </c>
      <c r="K128" s="106"/>
      <c r="L128" s="106">
        <v>801</v>
      </c>
      <c r="M128" s="106"/>
      <c r="N128" s="106">
        <v>600</v>
      </c>
      <c r="O128" s="106">
        <f t="shared" si="5"/>
        <v>-201</v>
      </c>
      <c r="P128" s="4"/>
    </row>
    <row r="129" spans="1:16" x14ac:dyDescent="0.3">
      <c r="A129" s="4" t="s">
        <v>342</v>
      </c>
      <c r="B129" s="4" t="s">
        <v>343</v>
      </c>
      <c r="C129" s="4"/>
      <c r="D129" s="106">
        <v>16291.88</v>
      </c>
      <c r="E129" s="106"/>
      <c r="F129" s="106">
        <v>7446.97</v>
      </c>
      <c r="G129" s="106"/>
      <c r="H129" s="106">
        <v>6835.72</v>
      </c>
      <c r="I129" s="106"/>
      <c r="J129" s="106">
        <f t="shared" si="6"/>
        <v>10191.523333333333</v>
      </c>
      <c r="K129" s="106"/>
      <c r="L129" s="106">
        <v>12216</v>
      </c>
      <c r="M129" s="106"/>
      <c r="N129" s="106">
        <v>10200</v>
      </c>
      <c r="O129" s="106">
        <f t="shared" si="5"/>
        <v>-2016</v>
      </c>
      <c r="P129" s="4"/>
    </row>
    <row r="130" spans="1:16" x14ac:dyDescent="0.3">
      <c r="A130" s="4" t="s">
        <v>344</v>
      </c>
      <c r="B130" s="4" t="s">
        <v>345</v>
      </c>
      <c r="C130" s="4"/>
      <c r="D130" s="106">
        <v>281966.15999999997</v>
      </c>
      <c r="E130" s="106"/>
      <c r="F130" s="106">
        <v>267297.62</v>
      </c>
      <c r="G130" s="106"/>
      <c r="H130" s="106">
        <v>239792.83</v>
      </c>
      <c r="I130" s="106"/>
      <c r="J130" s="106">
        <f t="shared" si="6"/>
        <v>263018.87</v>
      </c>
      <c r="K130" s="106"/>
      <c r="L130" s="106">
        <v>275074</v>
      </c>
      <c r="M130" s="106"/>
      <c r="N130" s="106">
        <v>263000</v>
      </c>
      <c r="O130" s="106">
        <f t="shared" si="5"/>
        <v>-12074</v>
      </c>
      <c r="P130" s="4"/>
    </row>
    <row r="131" spans="1:16" x14ac:dyDescent="0.3">
      <c r="A131" s="4" t="s">
        <v>346</v>
      </c>
      <c r="B131" s="4" t="s">
        <v>347</v>
      </c>
      <c r="C131" s="4"/>
      <c r="D131" s="106">
        <v>4930</v>
      </c>
      <c r="E131" s="106"/>
      <c r="F131" s="106">
        <v>5415</v>
      </c>
      <c r="G131" s="106"/>
      <c r="H131" s="106">
        <v>6670</v>
      </c>
      <c r="I131" s="106"/>
      <c r="J131" s="106">
        <f t="shared" si="6"/>
        <v>5671.666666666667</v>
      </c>
      <c r="K131" s="106"/>
      <c r="L131" s="106">
        <v>5142</v>
      </c>
      <c r="M131" s="106"/>
      <c r="N131" s="106">
        <v>5700</v>
      </c>
      <c r="O131" s="106">
        <f t="shared" si="5"/>
        <v>558</v>
      </c>
      <c r="P131" s="4"/>
    </row>
    <row r="132" spans="1:16" x14ac:dyDescent="0.3">
      <c r="A132" s="4" t="s">
        <v>348</v>
      </c>
      <c r="B132" s="4" t="s">
        <v>349</v>
      </c>
      <c r="C132" s="4"/>
      <c r="D132" s="106">
        <v>3953.56</v>
      </c>
      <c r="E132" s="106"/>
      <c r="F132" s="106">
        <v>379.87</v>
      </c>
      <c r="G132" s="106"/>
      <c r="H132" s="106">
        <v>-155.1</v>
      </c>
      <c r="I132" s="106"/>
      <c r="J132" s="106">
        <f t="shared" si="6"/>
        <v>1392.7766666666666</v>
      </c>
      <c r="K132" s="106"/>
      <c r="L132" s="106">
        <v>2844</v>
      </c>
      <c r="M132" s="106"/>
      <c r="N132" s="106">
        <v>1400</v>
      </c>
      <c r="O132" s="106">
        <f t="shared" si="5"/>
        <v>-1444</v>
      </c>
      <c r="P132" s="4"/>
    </row>
    <row r="133" spans="1:16" x14ac:dyDescent="0.3">
      <c r="A133" s="4" t="s">
        <v>350</v>
      </c>
      <c r="B133" s="4" t="s">
        <v>351</v>
      </c>
      <c r="C133" s="4"/>
      <c r="D133" s="106">
        <v>27979.65</v>
      </c>
      <c r="E133" s="106"/>
      <c r="F133" s="106">
        <v>13596.46</v>
      </c>
      <c r="G133" s="106"/>
      <c r="H133" s="106">
        <v>17166.47</v>
      </c>
      <c r="I133" s="106"/>
      <c r="J133" s="106">
        <f t="shared" si="6"/>
        <v>19580.86</v>
      </c>
      <c r="K133" s="106"/>
      <c r="L133" s="106">
        <v>24265</v>
      </c>
      <c r="M133" s="106"/>
      <c r="N133" s="106">
        <v>19600</v>
      </c>
      <c r="O133" s="106">
        <f t="shared" si="5"/>
        <v>-4665</v>
      </c>
      <c r="P133" s="4"/>
    </row>
    <row r="134" spans="1:16" x14ac:dyDescent="0.3">
      <c r="A134" s="4" t="s">
        <v>352</v>
      </c>
      <c r="B134" s="4" t="s">
        <v>353</v>
      </c>
      <c r="C134" s="4"/>
      <c r="D134" s="106">
        <v>2649.55</v>
      </c>
      <c r="E134" s="106"/>
      <c r="F134" s="106">
        <v>2107.98</v>
      </c>
      <c r="G134" s="106"/>
      <c r="H134" s="106">
        <v>2438.21</v>
      </c>
      <c r="I134" s="106"/>
      <c r="J134" s="106">
        <f t="shared" si="6"/>
        <v>2398.5800000000004</v>
      </c>
      <c r="K134" s="106"/>
      <c r="L134" s="106">
        <v>2564</v>
      </c>
      <c r="M134" s="106"/>
      <c r="N134" s="106">
        <v>2400</v>
      </c>
      <c r="O134" s="106">
        <f t="shared" si="5"/>
        <v>-164</v>
      </c>
      <c r="P134" s="4"/>
    </row>
    <row r="135" spans="1:16" x14ac:dyDescent="0.3">
      <c r="A135" s="4" t="s">
        <v>354</v>
      </c>
      <c r="B135" s="4" t="s">
        <v>355</v>
      </c>
      <c r="C135" s="4"/>
      <c r="D135" s="106">
        <v>825</v>
      </c>
      <c r="E135" s="106"/>
      <c r="F135" s="106">
        <v>505</v>
      </c>
      <c r="G135" s="106"/>
      <c r="H135" s="106">
        <v>460</v>
      </c>
      <c r="I135" s="106"/>
      <c r="J135" s="106">
        <f t="shared" si="6"/>
        <v>596.66666666666663</v>
      </c>
      <c r="K135" s="106"/>
      <c r="L135" s="106">
        <v>1057</v>
      </c>
      <c r="M135" s="106"/>
      <c r="N135" s="106">
        <v>600</v>
      </c>
      <c r="O135" s="106">
        <f t="shared" si="5"/>
        <v>-457</v>
      </c>
      <c r="P135" s="4"/>
    </row>
    <row r="136" spans="1:16" x14ac:dyDescent="0.3">
      <c r="A136" s="4" t="s">
        <v>356</v>
      </c>
      <c r="B136" s="4" t="s">
        <v>357</v>
      </c>
      <c r="C136" s="4"/>
      <c r="D136" s="106">
        <v>6130.71</v>
      </c>
      <c r="E136" s="106"/>
      <c r="F136" s="106">
        <v>4331.8999999999996</v>
      </c>
      <c r="G136" s="106"/>
      <c r="H136" s="106">
        <v>5679</v>
      </c>
      <c r="I136" s="106"/>
      <c r="J136" s="106">
        <f t="shared" si="6"/>
        <v>5380.5366666666669</v>
      </c>
      <c r="K136" s="106"/>
      <c r="L136" s="106">
        <v>5825</v>
      </c>
      <c r="M136" s="106"/>
      <c r="N136" s="106">
        <v>5400</v>
      </c>
      <c r="O136" s="106">
        <f t="shared" si="5"/>
        <v>-425</v>
      </c>
      <c r="P136" s="4"/>
    </row>
    <row r="137" spans="1:16" x14ac:dyDescent="0.3">
      <c r="A137" s="4" t="s">
        <v>358</v>
      </c>
      <c r="B137" s="4" t="s">
        <v>359</v>
      </c>
      <c r="C137" s="4"/>
      <c r="D137" s="106">
        <v>21025</v>
      </c>
      <c r="E137" s="106"/>
      <c r="F137" s="106">
        <v>8150</v>
      </c>
      <c r="G137" s="106"/>
      <c r="H137" s="106">
        <v>2700</v>
      </c>
      <c r="I137" s="106"/>
      <c r="J137" s="106">
        <f t="shared" si="6"/>
        <v>10625</v>
      </c>
      <c r="K137" s="106"/>
      <c r="L137" s="106">
        <v>12080</v>
      </c>
      <c r="M137" s="106"/>
      <c r="N137" s="106">
        <v>10600</v>
      </c>
      <c r="O137" s="106">
        <f t="shared" si="5"/>
        <v>-1480</v>
      </c>
      <c r="P137" s="4"/>
    </row>
    <row r="138" spans="1:16" x14ac:dyDescent="0.3">
      <c r="A138" s="4" t="s">
        <v>360</v>
      </c>
      <c r="B138" s="4" t="s">
        <v>361</v>
      </c>
      <c r="C138" s="4"/>
      <c r="D138" s="106">
        <v>9440</v>
      </c>
      <c r="E138" s="106"/>
      <c r="F138" s="106">
        <v>5700</v>
      </c>
      <c r="G138" s="106"/>
      <c r="H138" s="106">
        <v>8485</v>
      </c>
      <c r="I138" s="106"/>
      <c r="J138" s="106">
        <f t="shared" si="6"/>
        <v>7875</v>
      </c>
      <c r="K138" s="106"/>
      <c r="L138" s="106">
        <v>8379</v>
      </c>
      <c r="M138" s="106"/>
      <c r="N138" s="106">
        <v>7900</v>
      </c>
      <c r="O138" s="106">
        <f t="shared" si="5"/>
        <v>-479</v>
      </c>
      <c r="P138" s="4"/>
    </row>
    <row r="139" spans="1:16" x14ac:dyDescent="0.3">
      <c r="A139" s="4" t="s">
        <v>565</v>
      </c>
      <c r="B139" s="4" t="s">
        <v>561</v>
      </c>
      <c r="C139" s="4"/>
      <c r="D139" s="106">
        <v>203580.35</v>
      </c>
      <c r="E139" s="106"/>
      <c r="F139" s="106">
        <v>194887.77</v>
      </c>
      <c r="G139" s="106">
        <v>0</v>
      </c>
      <c r="H139" s="106">
        <v>198977.15</v>
      </c>
      <c r="I139" s="106"/>
      <c r="J139" s="106">
        <f t="shared" si="6"/>
        <v>199148.42333333334</v>
      </c>
      <c r="K139" s="106"/>
      <c r="L139" s="106">
        <v>162184</v>
      </c>
      <c r="M139" s="106"/>
      <c r="N139" s="106">
        <v>199100</v>
      </c>
      <c r="O139" s="106">
        <f t="shared" si="5"/>
        <v>36916</v>
      </c>
      <c r="P139" s="4"/>
    </row>
    <row r="140" spans="1:16" x14ac:dyDescent="0.3">
      <c r="A140" s="4" t="s">
        <v>548</v>
      </c>
      <c r="B140" s="4" t="s">
        <v>549</v>
      </c>
      <c r="C140" s="4"/>
      <c r="D140" s="106">
        <v>0</v>
      </c>
      <c r="E140" s="106"/>
      <c r="F140" s="106">
        <v>0</v>
      </c>
      <c r="G140" s="106"/>
      <c r="H140" s="106">
        <v>0</v>
      </c>
      <c r="I140" s="106"/>
      <c r="J140" s="106">
        <f t="shared" si="6"/>
        <v>0</v>
      </c>
      <c r="K140" s="106"/>
      <c r="L140" s="106">
        <v>3</v>
      </c>
      <c r="M140" s="106"/>
      <c r="N140" s="106">
        <v>0</v>
      </c>
      <c r="O140" s="106">
        <f t="shared" si="5"/>
        <v>-3</v>
      </c>
      <c r="P140" s="4"/>
    </row>
    <row r="141" spans="1:16" x14ac:dyDescent="0.3">
      <c r="A141" s="4" t="s">
        <v>552</v>
      </c>
      <c r="B141" s="4" t="s">
        <v>553</v>
      </c>
      <c r="C141" s="4"/>
      <c r="D141" s="106">
        <v>11175</v>
      </c>
      <c r="E141" s="106"/>
      <c r="F141" s="106">
        <v>9870</v>
      </c>
      <c r="G141" s="106"/>
      <c r="H141" s="106">
        <v>16155</v>
      </c>
      <c r="I141" s="106"/>
      <c r="J141" s="106">
        <f t="shared" si="6"/>
        <v>12400</v>
      </c>
      <c r="K141" s="106"/>
      <c r="L141" s="106">
        <v>10720</v>
      </c>
      <c r="M141" s="106"/>
      <c r="N141" s="106">
        <v>12400</v>
      </c>
      <c r="O141" s="106">
        <f t="shared" si="5"/>
        <v>1680</v>
      </c>
      <c r="P141" s="4"/>
    </row>
    <row r="142" spans="1:16" x14ac:dyDescent="0.3">
      <c r="A142" s="4" t="s">
        <v>364</v>
      </c>
      <c r="B142" s="4" t="s">
        <v>554</v>
      </c>
      <c r="C142" s="4"/>
      <c r="D142" s="106">
        <v>0</v>
      </c>
      <c r="E142" s="106"/>
      <c r="F142" s="106">
        <v>0</v>
      </c>
      <c r="G142" s="106"/>
      <c r="H142" s="106">
        <v>0</v>
      </c>
      <c r="I142" s="106"/>
      <c r="J142" s="106">
        <f t="shared" si="6"/>
        <v>0</v>
      </c>
      <c r="K142" s="106"/>
      <c r="L142" s="106">
        <v>0</v>
      </c>
      <c r="M142" s="106"/>
      <c r="N142" s="106">
        <v>0</v>
      </c>
      <c r="O142" s="106">
        <f t="shared" si="5"/>
        <v>0</v>
      </c>
      <c r="P142" s="4"/>
    </row>
    <row r="143" spans="1:16" hidden="1" x14ac:dyDescent="0.3">
      <c r="A143" s="4" t="s">
        <v>362</v>
      </c>
      <c r="B143" s="4" t="s">
        <v>363</v>
      </c>
      <c r="C143" s="4"/>
      <c r="D143" s="106">
        <v>0</v>
      </c>
      <c r="E143" s="106"/>
      <c r="F143" s="106">
        <v>0</v>
      </c>
      <c r="G143" s="106"/>
      <c r="H143" s="106">
        <v>0</v>
      </c>
      <c r="I143" s="106"/>
      <c r="J143" s="106">
        <f t="shared" si="6"/>
        <v>0</v>
      </c>
      <c r="K143" s="106"/>
      <c r="L143" s="106">
        <f t="shared" ref="L143:L167" si="7">+H143</f>
        <v>0</v>
      </c>
      <c r="M143" s="106"/>
      <c r="N143" s="106"/>
      <c r="O143" s="106">
        <f t="shared" si="5"/>
        <v>0</v>
      </c>
      <c r="P143" s="4"/>
    </row>
    <row r="144" spans="1:16" hidden="1" x14ac:dyDescent="0.3">
      <c r="A144" s="4" t="s">
        <v>364</v>
      </c>
      <c r="B144" s="4" t="s">
        <v>365</v>
      </c>
      <c r="C144" s="4"/>
      <c r="D144" s="106">
        <v>0</v>
      </c>
      <c r="E144" s="106"/>
      <c r="F144" s="106">
        <v>0</v>
      </c>
      <c r="G144" s="106"/>
      <c r="H144" s="106">
        <v>0</v>
      </c>
      <c r="I144" s="106"/>
      <c r="J144" s="106">
        <f t="shared" si="6"/>
        <v>0</v>
      </c>
      <c r="K144" s="106"/>
      <c r="L144" s="106">
        <v>0</v>
      </c>
      <c r="M144" s="106"/>
      <c r="N144" s="106"/>
      <c r="O144" s="106">
        <f t="shared" si="5"/>
        <v>0</v>
      </c>
      <c r="P144" s="4"/>
    </row>
    <row r="145" spans="1:16" hidden="1" x14ac:dyDescent="0.3">
      <c r="A145" s="4" t="s">
        <v>366</v>
      </c>
      <c r="B145" s="4" t="s">
        <v>367</v>
      </c>
      <c r="C145" s="4"/>
      <c r="D145" s="106">
        <v>0</v>
      </c>
      <c r="E145" s="106"/>
      <c r="F145" s="106">
        <v>0</v>
      </c>
      <c r="G145" s="106"/>
      <c r="H145" s="106">
        <v>0</v>
      </c>
      <c r="I145" s="106"/>
      <c r="J145" s="106">
        <f t="shared" si="6"/>
        <v>0</v>
      </c>
      <c r="K145" s="106"/>
      <c r="L145" s="106">
        <v>0</v>
      </c>
      <c r="M145" s="106"/>
      <c r="N145" s="106"/>
      <c r="O145" s="106">
        <f t="shared" si="5"/>
        <v>0</v>
      </c>
      <c r="P145" s="4"/>
    </row>
    <row r="146" spans="1:16" hidden="1" x14ac:dyDescent="0.3">
      <c r="A146" s="4" t="s">
        <v>368</v>
      </c>
      <c r="B146" s="4" t="s">
        <v>369</v>
      </c>
      <c r="C146" s="4"/>
      <c r="D146" s="106">
        <v>0</v>
      </c>
      <c r="E146" s="106"/>
      <c r="F146" s="106">
        <v>0</v>
      </c>
      <c r="G146" s="106"/>
      <c r="H146" s="106">
        <v>0</v>
      </c>
      <c r="I146" s="106"/>
      <c r="J146" s="106">
        <f t="shared" si="6"/>
        <v>0</v>
      </c>
      <c r="K146" s="106"/>
      <c r="L146" s="106">
        <v>0</v>
      </c>
      <c r="M146" s="106"/>
      <c r="N146" s="106"/>
      <c r="O146" s="106">
        <f t="shared" si="5"/>
        <v>0</v>
      </c>
      <c r="P146" s="4"/>
    </row>
    <row r="147" spans="1:16" hidden="1" x14ac:dyDescent="0.3">
      <c r="A147" s="4" t="s">
        <v>370</v>
      </c>
      <c r="B147" s="4" t="s">
        <v>371</v>
      </c>
      <c r="C147" s="4"/>
      <c r="D147" s="106">
        <v>0</v>
      </c>
      <c r="E147" s="106"/>
      <c r="F147" s="106">
        <v>0</v>
      </c>
      <c r="G147" s="106"/>
      <c r="H147" s="106">
        <v>0</v>
      </c>
      <c r="I147" s="106"/>
      <c r="J147" s="106">
        <f t="shared" si="6"/>
        <v>0</v>
      </c>
      <c r="K147" s="106"/>
      <c r="L147" s="106">
        <v>0</v>
      </c>
      <c r="M147" s="106"/>
      <c r="N147" s="106"/>
      <c r="O147" s="106">
        <f t="shared" si="5"/>
        <v>0</v>
      </c>
      <c r="P147" s="4"/>
    </row>
    <row r="148" spans="1:16" hidden="1" x14ac:dyDescent="0.3">
      <c r="A148" s="4" t="s">
        <v>372</v>
      </c>
      <c r="B148" s="4" t="s">
        <v>373</v>
      </c>
      <c r="C148" s="4"/>
      <c r="D148" s="106">
        <v>0</v>
      </c>
      <c r="E148" s="106"/>
      <c r="F148" s="106">
        <v>0</v>
      </c>
      <c r="G148" s="106"/>
      <c r="H148" s="106">
        <v>0</v>
      </c>
      <c r="I148" s="106"/>
      <c r="J148" s="106">
        <f t="shared" si="6"/>
        <v>0</v>
      </c>
      <c r="K148" s="106"/>
      <c r="L148" s="106">
        <v>0</v>
      </c>
      <c r="M148" s="106"/>
      <c r="N148" s="106"/>
      <c r="O148" s="106">
        <f t="shared" si="5"/>
        <v>0</v>
      </c>
      <c r="P148" s="4"/>
    </row>
    <row r="149" spans="1:16" hidden="1" x14ac:dyDescent="0.3">
      <c r="A149" s="4" t="s">
        <v>374</v>
      </c>
      <c r="B149" s="4" t="s">
        <v>375</v>
      </c>
      <c r="C149" s="4"/>
      <c r="D149" s="106">
        <v>0</v>
      </c>
      <c r="E149" s="106"/>
      <c r="F149" s="106">
        <v>0</v>
      </c>
      <c r="G149" s="106"/>
      <c r="H149" s="106">
        <v>0</v>
      </c>
      <c r="I149" s="106"/>
      <c r="J149" s="106">
        <f t="shared" si="6"/>
        <v>0</v>
      </c>
      <c r="K149" s="106"/>
      <c r="L149" s="106">
        <f t="shared" si="7"/>
        <v>0</v>
      </c>
      <c r="M149" s="106"/>
      <c r="N149" s="106"/>
      <c r="O149" s="106">
        <f t="shared" si="5"/>
        <v>0</v>
      </c>
      <c r="P149" s="4"/>
    </row>
    <row r="150" spans="1:16" hidden="1" x14ac:dyDescent="0.3">
      <c r="A150" s="4" t="s">
        <v>376</v>
      </c>
      <c r="B150" s="4" t="s">
        <v>377</v>
      </c>
      <c r="C150" s="4"/>
      <c r="D150" s="106">
        <v>0</v>
      </c>
      <c r="E150" s="106"/>
      <c r="F150" s="106">
        <v>0</v>
      </c>
      <c r="G150" s="106"/>
      <c r="H150" s="106">
        <v>0</v>
      </c>
      <c r="I150" s="106"/>
      <c r="J150" s="106">
        <f t="shared" si="6"/>
        <v>0</v>
      </c>
      <c r="K150" s="106"/>
      <c r="L150" s="106">
        <f t="shared" si="7"/>
        <v>0</v>
      </c>
      <c r="M150" s="106"/>
      <c r="N150" s="106"/>
      <c r="O150" s="106">
        <f t="shared" si="5"/>
        <v>0</v>
      </c>
      <c r="P150" s="4"/>
    </row>
    <row r="151" spans="1:16" hidden="1" x14ac:dyDescent="0.3">
      <c r="A151" s="4" t="s">
        <v>378</v>
      </c>
      <c r="B151" s="4" t="s">
        <v>379</v>
      </c>
      <c r="C151" s="4"/>
      <c r="D151" s="106">
        <v>0</v>
      </c>
      <c r="E151" s="106"/>
      <c r="F151" s="106">
        <v>0</v>
      </c>
      <c r="G151" s="106"/>
      <c r="H151" s="106">
        <v>0</v>
      </c>
      <c r="I151" s="106"/>
      <c r="J151" s="106">
        <f t="shared" si="6"/>
        <v>0</v>
      </c>
      <c r="K151" s="106"/>
      <c r="L151" s="106">
        <v>0</v>
      </c>
      <c r="M151" s="106"/>
      <c r="N151" s="106"/>
      <c r="O151" s="106">
        <f t="shared" ref="O151:O215" si="8">+N151-L151</f>
        <v>0</v>
      </c>
      <c r="P151" s="4"/>
    </row>
    <row r="152" spans="1:16" hidden="1" x14ac:dyDescent="0.3">
      <c r="A152" s="4" t="s">
        <v>380</v>
      </c>
      <c r="B152" s="4" t="s">
        <v>381</v>
      </c>
      <c r="C152" s="4"/>
      <c r="D152" s="106">
        <v>0</v>
      </c>
      <c r="E152" s="106"/>
      <c r="F152" s="106">
        <v>0</v>
      </c>
      <c r="G152" s="106"/>
      <c r="H152" s="106">
        <v>0</v>
      </c>
      <c r="I152" s="106"/>
      <c r="J152" s="106">
        <f t="shared" si="6"/>
        <v>0</v>
      </c>
      <c r="K152" s="106"/>
      <c r="L152" s="106">
        <f t="shared" si="7"/>
        <v>0</v>
      </c>
      <c r="M152" s="106"/>
      <c r="N152" s="106"/>
      <c r="O152" s="106">
        <f t="shared" si="8"/>
        <v>0</v>
      </c>
      <c r="P152" s="4"/>
    </row>
    <row r="153" spans="1:16" hidden="1" x14ac:dyDescent="0.3">
      <c r="A153" s="4" t="s">
        <v>382</v>
      </c>
      <c r="B153" s="4" t="s">
        <v>383</v>
      </c>
      <c r="C153" s="4"/>
      <c r="D153" s="106">
        <v>0</v>
      </c>
      <c r="E153" s="106"/>
      <c r="F153" s="106">
        <v>0</v>
      </c>
      <c r="G153" s="106"/>
      <c r="H153" s="106">
        <v>0</v>
      </c>
      <c r="I153" s="106"/>
      <c r="J153" s="106">
        <f t="shared" si="6"/>
        <v>0</v>
      </c>
      <c r="K153" s="106"/>
      <c r="L153" s="106">
        <f t="shared" si="7"/>
        <v>0</v>
      </c>
      <c r="M153" s="106"/>
      <c r="N153" s="106"/>
      <c r="O153" s="106">
        <f t="shared" si="8"/>
        <v>0</v>
      </c>
      <c r="P153" s="4"/>
    </row>
    <row r="154" spans="1:16" hidden="1" x14ac:dyDescent="0.3">
      <c r="A154" s="4" t="s">
        <v>384</v>
      </c>
      <c r="B154" s="4" t="s">
        <v>385</v>
      </c>
      <c r="C154" s="4"/>
      <c r="D154" s="106">
        <v>0</v>
      </c>
      <c r="E154" s="106"/>
      <c r="F154" s="106">
        <v>0</v>
      </c>
      <c r="G154" s="106"/>
      <c r="H154" s="106">
        <v>0</v>
      </c>
      <c r="I154" s="106"/>
      <c r="J154" s="106">
        <f t="shared" si="6"/>
        <v>0</v>
      </c>
      <c r="K154" s="106"/>
      <c r="L154" s="106">
        <f t="shared" si="7"/>
        <v>0</v>
      </c>
      <c r="M154" s="106"/>
      <c r="N154" s="106"/>
      <c r="O154" s="106">
        <f t="shared" si="8"/>
        <v>0</v>
      </c>
      <c r="P154" s="4"/>
    </row>
    <row r="155" spans="1:16" hidden="1" x14ac:dyDescent="0.3">
      <c r="A155" s="4" t="s">
        <v>528</v>
      </c>
      <c r="B155" s="4" t="s">
        <v>386</v>
      </c>
      <c r="C155" s="4"/>
      <c r="D155" s="106">
        <v>0</v>
      </c>
      <c r="E155" s="106"/>
      <c r="F155" s="106">
        <v>0</v>
      </c>
      <c r="G155" s="106"/>
      <c r="H155" s="106">
        <v>0</v>
      </c>
      <c r="I155" s="106"/>
      <c r="J155" s="106">
        <f t="shared" si="6"/>
        <v>0</v>
      </c>
      <c r="K155" s="106"/>
      <c r="L155" s="106">
        <v>0</v>
      </c>
      <c r="M155" s="106"/>
      <c r="N155" s="106"/>
      <c r="O155" s="106">
        <f t="shared" si="8"/>
        <v>0</v>
      </c>
      <c r="P155" s="4"/>
    </row>
    <row r="156" spans="1:16" hidden="1" x14ac:dyDescent="0.3">
      <c r="A156" s="4" t="s">
        <v>387</v>
      </c>
      <c r="B156" s="4" t="s">
        <v>388</v>
      </c>
      <c r="C156" s="4"/>
      <c r="D156" s="106">
        <v>0</v>
      </c>
      <c r="E156" s="106"/>
      <c r="F156" s="106">
        <v>0</v>
      </c>
      <c r="G156" s="106"/>
      <c r="H156" s="106">
        <v>0</v>
      </c>
      <c r="I156" s="106"/>
      <c r="J156" s="106">
        <f t="shared" si="6"/>
        <v>0</v>
      </c>
      <c r="K156" s="106"/>
      <c r="L156" s="106">
        <v>0</v>
      </c>
      <c r="M156" s="106"/>
      <c r="N156" s="106"/>
      <c r="O156" s="106">
        <f t="shared" si="8"/>
        <v>0</v>
      </c>
      <c r="P156" s="4"/>
    </row>
    <row r="157" spans="1:16" hidden="1" x14ac:dyDescent="0.3">
      <c r="A157" s="4" t="s">
        <v>529</v>
      </c>
      <c r="B157" s="4" t="s">
        <v>389</v>
      </c>
      <c r="C157" s="4"/>
      <c r="D157" s="106">
        <v>0</v>
      </c>
      <c r="E157" s="106"/>
      <c r="F157" s="106">
        <v>0</v>
      </c>
      <c r="G157" s="106"/>
      <c r="H157" s="106">
        <v>0</v>
      </c>
      <c r="I157" s="106"/>
      <c r="J157" s="106">
        <f t="shared" si="6"/>
        <v>0</v>
      </c>
      <c r="K157" s="106"/>
      <c r="L157" s="106">
        <v>0</v>
      </c>
      <c r="M157" s="106"/>
      <c r="N157" s="106"/>
      <c r="O157" s="106">
        <f t="shared" si="8"/>
        <v>0</v>
      </c>
      <c r="P157" s="4"/>
    </row>
    <row r="158" spans="1:16" x14ac:dyDescent="0.3">
      <c r="A158" s="4" t="s">
        <v>740</v>
      </c>
      <c r="B158" s="4" t="s">
        <v>499</v>
      </c>
      <c r="C158" s="4"/>
      <c r="D158" s="106">
        <v>574281.11</v>
      </c>
      <c r="E158" s="106"/>
      <c r="F158" s="106">
        <v>399045.46</v>
      </c>
      <c r="G158" s="106"/>
      <c r="H158" s="106">
        <v>292874.28999999998</v>
      </c>
      <c r="I158" s="106"/>
      <c r="J158" s="106">
        <f t="shared" si="6"/>
        <v>422066.95333333337</v>
      </c>
      <c r="K158" s="106"/>
      <c r="L158" s="106">
        <v>0</v>
      </c>
      <c r="M158" s="106"/>
      <c r="N158" s="106">
        <f>300000+16551</f>
        <v>316551</v>
      </c>
      <c r="O158" s="106">
        <f t="shared" si="8"/>
        <v>316551</v>
      </c>
      <c r="P158" s="4">
        <f>55351-21000</f>
        <v>34351</v>
      </c>
    </row>
    <row r="159" spans="1:16" x14ac:dyDescent="0.3">
      <c r="A159" s="4" t="s">
        <v>390</v>
      </c>
      <c r="B159" s="4" t="s">
        <v>391</v>
      </c>
      <c r="C159" s="4"/>
      <c r="D159" s="106">
        <v>0</v>
      </c>
      <c r="E159" s="106"/>
      <c r="F159" s="106">
        <v>0</v>
      </c>
      <c r="G159" s="106"/>
      <c r="H159" s="106">
        <v>0</v>
      </c>
      <c r="I159" s="106"/>
      <c r="J159" s="106">
        <f t="shared" si="6"/>
        <v>0</v>
      </c>
      <c r="K159" s="106"/>
      <c r="L159" s="106">
        <v>0</v>
      </c>
      <c r="M159" s="106"/>
      <c r="N159" s="106">
        <v>0</v>
      </c>
      <c r="O159" s="106">
        <f t="shared" si="8"/>
        <v>0</v>
      </c>
      <c r="P159" s="4"/>
    </row>
    <row r="160" spans="1:16" x14ac:dyDescent="0.3">
      <c r="A160" s="4" t="s">
        <v>562</v>
      </c>
      <c r="B160" s="4" t="s">
        <v>563</v>
      </c>
      <c r="C160" s="4"/>
      <c r="D160" s="106">
        <v>9915</v>
      </c>
      <c r="E160" s="106"/>
      <c r="F160" s="106">
        <v>3880</v>
      </c>
      <c r="G160" s="106"/>
      <c r="H160" s="106">
        <v>10550</v>
      </c>
      <c r="I160" s="106"/>
      <c r="J160" s="106">
        <f t="shared" si="6"/>
        <v>8115</v>
      </c>
      <c r="K160" s="106"/>
      <c r="L160" s="106">
        <v>7665</v>
      </c>
      <c r="M160" s="106"/>
      <c r="N160" s="106">
        <v>8100</v>
      </c>
      <c r="O160" s="106">
        <f t="shared" si="8"/>
        <v>435</v>
      </c>
      <c r="P160" s="4"/>
    </row>
    <row r="161" spans="1:16" x14ac:dyDescent="0.3">
      <c r="A161" s="4" t="s">
        <v>570</v>
      </c>
      <c r="B161" s="4" t="s">
        <v>571</v>
      </c>
      <c r="C161" s="4"/>
      <c r="D161" s="106">
        <v>17212.77</v>
      </c>
      <c r="E161" s="106"/>
      <c r="F161" s="106">
        <v>15965.56</v>
      </c>
      <c r="G161" s="106"/>
      <c r="H161" s="106">
        <v>16711.28</v>
      </c>
      <c r="I161" s="106"/>
      <c r="J161" s="106">
        <f t="shared" si="6"/>
        <v>16629.87</v>
      </c>
      <c r="K161" s="106"/>
      <c r="L161" s="106">
        <v>15832</v>
      </c>
      <c r="M161" s="106"/>
      <c r="N161" s="106">
        <v>16600</v>
      </c>
      <c r="O161" s="106">
        <f t="shared" si="8"/>
        <v>768</v>
      </c>
      <c r="P161" s="4"/>
    </row>
    <row r="162" spans="1:16" x14ac:dyDescent="0.3">
      <c r="A162" s="4" t="s">
        <v>392</v>
      </c>
      <c r="B162" s="4" t="s">
        <v>393</v>
      </c>
      <c r="C162" s="4"/>
      <c r="D162" s="106">
        <v>0</v>
      </c>
      <c r="E162" s="106"/>
      <c r="F162" s="106">
        <v>0</v>
      </c>
      <c r="G162" s="106"/>
      <c r="H162" s="106">
        <v>0</v>
      </c>
      <c r="I162" s="106"/>
      <c r="J162" s="106">
        <f t="shared" ref="J162:J215" si="9">(+D162+F162+H162)/3</f>
        <v>0</v>
      </c>
      <c r="K162" s="106"/>
      <c r="L162" s="106">
        <v>0</v>
      </c>
      <c r="M162" s="106"/>
      <c r="N162" s="106">
        <v>0</v>
      </c>
      <c r="O162" s="106">
        <f t="shared" si="8"/>
        <v>0</v>
      </c>
      <c r="P162" s="4"/>
    </row>
    <row r="163" spans="1:16" x14ac:dyDescent="0.3">
      <c r="A163" s="4" t="s">
        <v>394</v>
      </c>
      <c r="B163" s="4" t="s">
        <v>395</v>
      </c>
      <c r="C163" s="4"/>
      <c r="D163" s="106">
        <v>0</v>
      </c>
      <c r="E163" s="106"/>
      <c r="F163" s="106">
        <v>0</v>
      </c>
      <c r="G163" s="106"/>
      <c r="H163" s="106">
        <v>0</v>
      </c>
      <c r="I163" s="106"/>
      <c r="J163" s="106">
        <f t="shared" si="9"/>
        <v>0</v>
      </c>
      <c r="K163" s="106"/>
      <c r="L163" s="106">
        <v>0</v>
      </c>
      <c r="M163" s="106"/>
      <c r="N163" s="106">
        <v>0</v>
      </c>
      <c r="O163" s="106">
        <f t="shared" si="8"/>
        <v>0</v>
      </c>
      <c r="P163" s="4"/>
    </row>
    <row r="164" spans="1:16" x14ac:dyDescent="0.3">
      <c r="A164" s="4" t="s">
        <v>396</v>
      </c>
      <c r="B164" s="4" t="s">
        <v>397</v>
      </c>
      <c r="C164" s="4"/>
      <c r="D164" s="106">
        <v>0</v>
      </c>
      <c r="E164" s="106"/>
      <c r="F164" s="106">
        <v>0</v>
      </c>
      <c r="G164" s="106"/>
      <c r="H164" s="106">
        <v>0</v>
      </c>
      <c r="I164" s="106"/>
      <c r="J164" s="106">
        <f t="shared" si="9"/>
        <v>0</v>
      </c>
      <c r="K164" s="106"/>
      <c r="L164" s="106">
        <v>0</v>
      </c>
      <c r="M164" s="106"/>
      <c r="N164" s="106">
        <v>0</v>
      </c>
      <c r="O164" s="106">
        <f t="shared" si="8"/>
        <v>0</v>
      </c>
      <c r="P164" s="4"/>
    </row>
    <row r="165" spans="1:16" x14ac:dyDescent="0.3">
      <c r="A165" s="4" t="s">
        <v>398</v>
      </c>
      <c r="B165" s="4" t="s">
        <v>399</v>
      </c>
      <c r="C165" s="4"/>
      <c r="D165" s="106">
        <v>0</v>
      </c>
      <c r="E165" s="106"/>
      <c r="F165" s="106">
        <v>0</v>
      </c>
      <c r="G165" s="106"/>
      <c r="H165" s="106">
        <v>0</v>
      </c>
      <c r="I165" s="106"/>
      <c r="J165" s="106">
        <f t="shared" si="9"/>
        <v>0</v>
      </c>
      <c r="K165" s="106"/>
      <c r="L165" s="106">
        <f t="shared" si="7"/>
        <v>0</v>
      </c>
      <c r="M165" s="106"/>
      <c r="N165" s="106">
        <v>0</v>
      </c>
      <c r="O165" s="106">
        <f t="shared" si="8"/>
        <v>0</v>
      </c>
      <c r="P165" s="4"/>
    </row>
    <row r="166" spans="1:16" x14ac:dyDescent="0.3">
      <c r="A166" s="4" t="s">
        <v>400</v>
      </c>
      <c r="B166" s="4" t="s">
        <v>401</v>
      </c>
      <c r="C166" s="4"/>
      <c r="D166" s="106">
        <v>0</v>
      </c>
      <c r="E166" s="106"/>
      <c r="F166" s="106">
        <v>0</v>
      </c>
      <c r="G166" s="106"/>
      <c r="H166" s="106">
        <v>0</v>
      </c>
      <c r="I166" s="106"/>
      <c r="J166" s="106">
        <f t="shared" si="9"/>
        <v>0</v>
      </c>
      <c r="K166" s="106"/>
      <c r="L166" s="106">
        <f t="shared" si="7"/>
        <v>0</v>
      </c>
      <c r="M166" s="106"/>
      <c r="N166" s="106">
        <v>0</v>
      </c>
      <c r="O166" s="106">
        <f t="shared" si="8"/>
        <v>0</v>
      </c>
      <c r="P166" s="4"/>
    </row>
    <row r="167" spans="1:16" x14ac:dyDescent="0.3">
      <c r="A167" s="4" t="s">
        <v>550</v>
      </c>
      <c r="B167" s="4" t="s">
        <v>551</v>
      </c>
      <c r="C167" s="4"/>
      <c r="D167" s="106">
        <v>0</v>
      </c>
      <c r="E167" s="106"/>
      <c r="F167" s="106">
        <v>0</v>
      </c>
      <c r="G167" s="106"/>
      <c r="H167" s="106">
        <v>0</v>
      </c>
      <c r="I167" s="106"/>
      <c r="J167" s="106">
        <f t="shared" si="9"/>
        <v>0</v>
      </c>
      <c r="K167" s="106"/>
      <c r="L167" s="106">
        <f t="shared" si="7"/>
        <v>0</v>
      </c>
      <c r="M167" s="106"/>
      <c r="N167" s="106">
        <v>0</v>
      </c>
      <c r="O167" s="106">
        <f t="shared" si="8"/>
        <v>0</v>
      </c>
      <c r="P167" s="4"/>
    </row>
    <row r="168" spans="1:16" x14ac:dyDescent="0.3">
      <c r="A168" s="4" t="s">
        <v>402</v>
      </c>
      <c r="B168" s="4" t="s">
        <v>564</v>
      </c>
      <c r="C168" s="4"/>
      <c r="D168" s="106">
        <v>77735.63</v>
      </c>
      <c r="E168" s="106"/>
      <c r="F168" s="106">
        <v>27644.18</v>
      </c>
      <c r="G168" s="106"/>
      <c r="H168" s="106">
        <v>25000</v>
      </c>
      <c r="I168" s="106"/>
      <c r="J168" s="106">
        <f t="shared" si="9"/>
        <v>43459.936666666668</v>
      </c>
      <c r="K168" s="106"/>
      <c r="L168" s="106">
        <v>50000</v>
      </c>
      <c r="M168" s="106"/>
      <c r="N168" s="152">
        <v>29000</v>
      </c>
      <c r="O168" s="106">
        <f t="shared" si="8"/>
        <v>-21000</v>
      </c>
      <c r="P168" s="4">
        <v>21000</v>
      </c>
    </row>
    <row r="169" spans="1:16" x14ac:dyDescent="0.3">
      <c r="A169" s="4" t="s">
        <v>403</v>
      </c>
      <c r="B169" s="4" t="s">
        <v>404</v>
      </c>
      <c r="C169" s="4"/>
      <c r="D169" s="106">
        <v>0</v>
      </c>
      <c r="E169" s="106"/>
      <c r="F169" s="106">
        <v>0</v>
      </c>
      <c r="G169" s="106"/>
      <c r="H169" s="106">
        <v>9</v>
      </c>
      <c r="I169" s="106"/>
      <c r="J169" s="106">
        <f t="shared" si="9"/>
        <v>3</v>
      </c>
      <c r="K169" s="106"/>
      <c r="L169" s="106">
        <v>1</v>
      </c>
      <c r="M169" s="106"/>
      <c r="N169" s="106"/>
      <c r="O169" s="106">
        <f t="shared" si="8"/>
        <v>-1</v>
      </c>
      <c r="P169" s="4"/>
    </row>
    <row r="170" spans="1:16" x14ac:dyDescent="0.3">
      <c r="A170" s="4" t="s">
        <v>405</v>
      </c>
      <c r="B170" s="4" t="s">
        <v>406</v>
      </c>
      <c r="C170" s="4"/>
      <c r="D170" s="106">
        <v>1255</v>
      </c>
      <c r="E170" s="4"/>
      <c r="F170" s="106">
        <v>1219</v>
      </c>
      <c r="G170" s="4"/>
      <c r="H170" s="106">
        <v>894.6</v>
      </c>
      <c r="I170" s="4"/>
      <c r="J170" s="106">
        <f t="shared" si="9"/>
        <v>1122.8666666666666</v>
      </c>
      <c r="K170" s="4"/>
      <c r="L170" s="106">
        <v>1365</v>
      </c>
      <c r="M170" s="4"/>
      <c r="N170" s="106">
        <v>1100</v>
      </c>
      <c r="O170" s="106">
        <f t="shared" si="8"/>
        <v>-265</v>
      </c>
      <c r="P170" s="4"/>
    </row>
    <row r="171" spans="1:16" x14ac:dyDescent="0.3">
      <c r="A171" s="4" t="s">
        <v>597</v>
      </c>
      <c r="B171" s="4" t="s">
        <v>598</v>
      </c>
      <c r="C171" s="4"/>
      <c r="D171" s="106">
        <v>0</v>
      </c>
      <c r="E171" s="4"/>
      <c r="F171" s="106">
        <v>0</v>
      </c>
      <c r="G171" s="4"/>
      <c r="H171" s="106">
        <v>0</v>
      </c>
      <c r="I171" s="4"/>
      <c r="J171" s="106">
        <f t="shared" si="9"/>
        <v>0</v>
      </c>
      <c r="K171" s="4"/>
      <c r="L171" s="106">
        <v>0</v>
      </c>
      <c r="M171" s="4"/>
      <c r="N171" s="106">
        <v>0</v>
      </c>
      <c r="O171" s="106">
        <f t="shared" si="8"/>
        <v>0</v>
      </c>
      <c r="P171" s="4"/>
    </row>
    <row r="172" spans="1:16" x14ac:dyDescent="0.3">
      <c r="A172" s="4" t="s">
        <v>407</v>
      </c>
      <c r="B172" s="4" t="s">
        <v>408</v>
      </c>
      <c r="C172" s="4"/>
      <c r="D172" s="106">
        <v>0</v>
      </c>
      <c r="E172" s="4"/>
      <c r="F172" s="106">
        <v>0</v>
      </c>
      <c r="G172" s="4"/>
      <c r="H172" s="106">
        <v>0</v>
      </c>
      <c r="I172" s="4"/>
      <c r="J172" s="106">
        <f t="shared" si="9"/>
        <v>0</v>
      </c>
      <c r="K172" s="4"/>
      <c r="L172" s="106">
        <v>25</v>
      </c>
      <c r="M172" s="4"/>
      <c r="N172" s="106">
        <v>0</v>
      </c>
      <c r="O172" s="106">
        <f t="shared" si="8"/>
        <v>-25</v>
      </c>
      <c r="P172" s="4"/>
    </row>
    <row r="173" spans="1:16" hidden="1" x14ac:dyDescent="0.3">
      <c r="A173" s="4" t="s">
        <v>409</v>
      </c>
      <c r="B173" s="4" t="s">
        <v>410</v>
      </c>
      <c r="C173" s="4"/>
      <c r="D173" s="106">
        <v>0</v>
      </c>
      <c r="E173" s="4"/>
      <c r="F173" s="106">
        <v>0</v>
      </c>
      <c r="G173" s="4"/>
      <c r="H173" s="106">
        <v>0</v>
      </c>
      <c r="I173" s="4"/>
      <c r="J173" s="106">
        <f t="shared" si="9"/>
        <v>0</v>
      </c>
      <c r="K173" s="4"/>
      <c r="L173" s="106">
        <v>0</v>
      </c>
      <c r="M173" s="4"/>
      <c r="N173" s="106"/>
      <c r="O173" s="106">
        <f t="shared" si="8"/>
        <v>0</v>
      </c>
      <c r="P173" s="4"/>
    </row>
    <row r="174" spans="1:16" x14ac:dyDescent="0.3">
      <c r="A174" s="4" t="s">
        <v>511</v>
      </c>
      <c r="B174" s="4" t="s">
        <v>512</v>
      </c>
      <c r="C174" s="4"/>
      <c r="D174" s="106">
        <v>0</v>
      </c>
      <c r="E174" s="4"/>
      <c r="F174" s="106">
        <v>0</v>
      </c>
      <c r="G174" s="4"/>
      <c r="H174" s="106">
        <v>0</v>
      </c>
      <c r="I174" s="4"/>
      <c r="J174" s="106">
        <f t="shared" si="9"/>
        <v>0</v>
      </c>
      <c r="K174" s="4"/>
      <c r="L174" s="106">
        <f t="shared" ref="L174:L214" si="10">+H174</f>
        <v>0</v>
      </c>
      <c r="M174" s="4"/>
      <c r="N174" s="106">
        <v>0</v>
      </c>
      <c r="O174" s="106">
        <f t="shared" si="8"/>
        <v>0</v>
      </c>
      <c r="P174" s="4"/>
    </row>
    <row r="175" spans="1:16" x14ac:dyDescent="0.3">
      <c r="A175" s="4" t="s">
        <v>411</v>
      </c>
      <c r="B175" s="4" t="s">
        <v>412</v>
      </c>
      <c r="C175" s="4"/>
      <c r="D175" s="106">
        <v>0</v>
      </c>
      <c r="E175" s="4"/>
      <c r="F175" s="106">
        <v>0</v>
      </c>
      <c r="G175" s="4"/>
      <c r="H175" s="106">
        <v>0</v>
      </c>
      <c r="I175" s="4"/>
      <c r="J175" s="106">
        <f t="shared" si="9"/>
        <v>0</v>
      </c>
      <c r="K175" s="4"/>
      <c r="L175" s="106">
        <v>0</v>
      </c>
      <c r="M175" s="4"/>
      <c r="N175" s="106">
        <v>0</v>
      </c>
      <c r="O175" s="106">
        <f t="shared" si="8"/>
        <v>0</v>
      </c>
      <c r="P175" s="4"/>
    </row>
    <row r="176" spans="1:16" x14ac:dyDescent="0.3">
      <c r="A176" s="4" t="s">
        <v>413</v>
      </c>
      <c r="B176" s="4" t="s">
        <v>414</v>
      </c>
      <c r="C176" s="4"/>
      <c r="D176" s="106">
        <v>3745.04</v>
      </c>
      <c r="E176" s="4"/>
      <c r="F176" s="106">
        <v>6756.92</v>
      </c>
      <c r="G176" s="4"/>
      <c r="H176" s="106">
        <v>8672.77</v>
      </c>
      <c r="I176" s="4"/>
      <c r="J176" s="106">
        <f t="shared" si="9"/>
        <v>6391.5766666666668</v>
      </c>
      <c r="K176" s="4"/>
      <c r="L176" s="106">
        <v>4939</v>
      </c>
      <c r="M176" s="4"/>
      <c r="N176" s="106">
        <v>6400</v>
      </c>
      <c r="O176" s="106">
        <f t="shared" si="8"/>
        <v>1461</v>
      </c>
      <c r="P176" s="4"/>
    </row>
    <row r="177" spans="1:16" x14ac:dyDescent="0.3">
      <c r="A177" s="4" t="s">
        <v>415</v>
      </c>
      <c r="B177" s="4" t="s">
        <v>416</v>
      </c>
      <c r="C177" s="4"/>
      <c r="D177" s="106">
        <v>0</v>
      </c>
      <c r="E177" s="4"/>
      <c r="F177" s="106">
        <v>0</v>
      </c>
      <c r="G177" s="4"/>
      <c r="H177" s="106">
        <v>0</v>
      </c>
      <c r="I177" s="4"/>
      <c r="J177" s="106">
        <f t="shared" si="9"/>
        <v>0</v>
      </c>
      <c r="K177" s="4"/>
      <c r="L177" s="106">
        <v>0</v>
      </c>
      <c r="M177" s="4"/>
      <c r="N177" s="106">
        <v>0</v>
      </c>
      <c r="O177" s="106">
        <f t="shared" si="8"/>
        <v>0</v>
      </c>
      <c r="P177" s="4"/>
    </row>
    <row r="178" spans="1:16" x14ac:dyDescent="0.3">
      <c r="A178" s="4" t="s">
        <v>417</v>
      </c>
      <c r="B178" s="4" t="s">
        <v>418</v>
      </c>
      <c r="C178" s="4"/>
      <c r="D178" s="106">
        <v>1349.46</v>
      </c>
      <c r="E178" s="4"/>
      <c r="F178" s="106">
        <v>547.36</v>
      </c>
      <c r="G178" s="4"/>
      <c r="H178" s="106">
        <v>139.21</v>
      </c>
      <c r="I178" s="4"/>
      <c r="J178" s="106">
        <f t="shared" si="9"/>
        <v>678.67666666666673</v>
      </c>
      <c r="K178" s="4"/>
      <c r="L178" s="106">
        <v>1055</v>
      </c>
      <c r="M178" s="4"/>
      <c r="N178" s="106">
        <v>700</v>
      </c>
      <c r="O178" s="106">
        <f t="shared" si="8"/>
        <v>-355</v>
      </c>
      <c r="P178" s="4"/>
    </row>
    <row r="179" spans="1:16" x14ac:dyDescent="0.3">
      <c r="A179" s="4" t="s">
        <v>419</v>
      </c>
      <c r="B179" s="4" t="s">
        <v>420</v>
      </c>
      <c r="C179" s="4"/>
      <c r="D179" s="106">
        <v>0</v>
      </c>
      <c r="E179" s="4"/>
      <c r="F179" s="106">
        <v>0</v>
      </c>
      <c r="G179" s="4"/>
      <c r="H179" s="106">
        <v>0</v>
      </c>
      <c r="I179" s="4"/>
      <c r="J179" s="106">
        <f t="shared" si="9"/>
        <v>0</v>
      </c>
      <c r="K179" s="4"/>
      <c r="L179" s="106">
        <v>0</v>
      </c>
      <c r="M179" s="4"/>
      <c r="N179" s="106">
        <v>0</v>
      </c>
      <c r="O179" s="106">
        <f t="shared" si="8"/>
        <v>0</v>
      </c>
      <c r="P179" s="4"/>
    </row>
    <row r="180" spans="1:16" x14ac:dyDescent="0.3">
      <c r="A180" s="4" t="s">
        <v>421</v>
      </c>
      <c r="B180" s="4" t="s">
        <v>422</v>
      </c>
      <c r="C180" s="4"/>
      <c r="D180" s="106">
        <v>0</v>
      </c>
      <c r="E180" s="4"/>
      <c r="F180" s="106">
        <v>0</v>
      </c>
      <c r="G180" s="4"/>
      <c r="H180" s="106">
        <v>0</v>
      </c>
      <c r="I180" s="4"/>
      <c r="J180" s="106">
        <f t="shared" si="9"/>
        <v>0</v>
      </c>
      <c r="K180" s="4"/>
      <c r="L180" s="106">
        <f t="shared" si="10"/>
        <v>0</v>
      </c>
      <c r="M180" s="4"/>
      <c r="N180" s="106">
        <v>0</v>
      </c>
      <c r="O180" s="106">
        <f t="shared" si="8"/>
        <v>0</v>
      </c>
      <c r="P180" s="4"/>
    </row>
    <row r="181" spans="1:16" x14ac:dyDescent="0.3">
      <c r="A181" s="4" t="s">
        <v>423</v>
      </c>
      <c r="B181" s="4" t="s">
        <v>424</v>
      </c>
      <c r="C181" s="4"/>
      <c r="D181" s="106">
        <v>0</v>
      </c>
      <c r="E181" s="4"/>
      <c r="F181" s="106">
        <v>0</v>
      </c>
      <c r="G181" s="4"/>
      <c r="H181" s="106">
        <v>0</v>
      </c>
      <c r="I181" s="4"/>
      <c r="J181" s="106">
        <f t="shared" si="9"/>
        <v>0</v>
      </c>
      <c r="K181" s="4"/>
      <c r="L181" s="106">
        <v>0</v>
      </c>
      <c r="M181" s="4"/>
      <c r="N181" s="106">
        <v>0</v>
      </c>
      <c r="O181" s="106">
        <f t="shared" si="8"/>
        <v>0</v>
      </c>
      <c r="P181" s="4"/>
    </row>
    <row r="182" spans="1:16" x14ac:dyDescent="0.3">
      <c r="A182" s="4" t="s">
        <v>425</v>
      </c>
      <c r="B182" s="4" t="s">
        <v>426</v>
      </c>
      <c r="C182" s="4"/>
      <c r="D182" s="106">
        <v>0</v>
      </c>
      <c r="E182" s="4"/>
      <c r="F182" s="106">
        <v>0</v>
      </c>
      <c r="G182" s="4"/>
      <c r="H182" s="106">
        <v>0</v>
      </c>
      <c r="I182" s="4"/>
      <c r="J182" s="106">
        <f t="shared" si="9"/>
        <v>0</v>
      </c>
      <c r="K182" s="4"/>
      <c r="L182" s="106">
        <f t="shared" si="10"/>
        <v>0</v>
      </c>
      <c r="M182" s="4"/>
      <c r="N182" s="106">
        <v>0</v>
      </c>
      <c r="O182" s="106">
        <f t="shared" si="8"/>
        <v>0</v>
      </c>
      <c r="P182" s="4"/>
    </row>
    <row r="183" spans="1:16" x14ac:dyDescent="0.3">
      <c r="A183" s="4" t="s">
        <v>427</v>
      </c>
      <c r="B183" s="4" t="s">
        <v>428</v>
      </c>
      <c r="C183" s="4"/>
      <c r="D183" s="106">
        <v>0</v>
      </c>
      <c r="E183" s="4"/>
      <c r="F183" s="106">
        <v>0</v>
      </c>
      <c r="G183" s="4"/>
      <c r="H183" s="106">
        <v>0</v>
      </c>
      <c r="I183" s="4"/>
      <c r="J183" s="106">
        <f t="shared" si="9"/>
        <v>0</v>
      </c>
      <c r="K183" s="4"/>
      <c r="L183" s="106">
        <f t="shared" si="10"/>
        <v>0</v>
      </c>
      <c r="M183" s="4"/>
      <c r="N183" s="106">
        <v>0</v>
      </c>
      <c r="O183" s="106">
        <f t="shared" si="8"/>
        <v>0</v>
      </c>
      <c r="P183" s="4"/>
    </row>
    <row r="184" spans="1:16" x14ac:dyDescent="0.3">
      <c r="A184" s="4" t="s">
        <v>429</v>
      </c>
      <c r="B184" s="4" t="s">
        <v>430</v>
      </c>
      <c r="C184" s="4"/>
      <c r="D184" s="106">
        <v>125</v>
      </c>
      <c r="E184" s="4"/>
      <c r="F184" s="106">
        <v>125</v>
      </c>
      <c r="G184" s="4"/>
      <c r="H184" s="106">
        <v>5212.4799999999996</v>
      </c>
      <c r="I184" s="4"/>
      <c r="J184" s="106">
        <f t="shared" si="9"/>
        <v>1820.8266666666666</v>
      </c>
      <c r="K184" s="4"/>
      <c r="L184" s="106">
        <v>0</v>
      </c>
      <c r="M184" s="4"/>
      <c r="N184" s="106">
        <v>0</v>
      </c>
      <c r="O184" s="106">
        <f t="shared" si="8"/>
        <v>0</v>
      </c>
      <c r="P184" s="4"/>
    </row>
    <row r="185" spans="1:16" x14ac:dyDescent="0.3">
      <c r="A185" s="4" t="s">
        <v>431</v>
      </c>
      <c r="B185" s="4" t="s">
        <v>432</v>
      </c>
      <c r="C185" s="4"/>
      <c r="D185" s="106">
        <v>0</v>
      </c>
      <c r="E185" s="4"/>
      <c r="F185" s="106">
        <v>19642.62</v>
      </c>
      <c r="G185" s="4"/>
      <c r="H185" s="106">
        <v>2411.3200000000002</v>
      </c>
      <c r="I185" s="4"/>
      <c r="J185" s="106">
        <f t="shared" si="9"/>
        <v>7351.3133333333326</v>
      </c>
      <c r="K185" s="4"/>
      <c r="L185" s="106">
        <v>0</v>
      </c>
      <c r="M185" s="4"/>
      <c r="N185" s="106">
        <v>0</v>
      </c>
      <c r="O185" s="106">
        <f t="shared" si="8"/>
        <v>0</v>
      </c>
      <c r="P185" s="4"/>
    </row>
    <row r="186" spans="1:16" x14ac:dyDescent="0.3">
      <c r="A186" s="4" t="s">
        <v>433</v>
      </c>
      <c r="B186" s="4" t="s">
        <v>434</v>
      </c>
      <c r="C186" s="4"/>
      <c r="D186" s="106">
        <v>3310</v>
      </c>
      <c r="E186" s="4"/>
      <c r="F186" s="106">
        <v>465</v>
      </c>
      <c r="G186" s="4"/>
      <c r="H186" s="106">
        <v>685</v>
      </c>
      <c r="I186" s="4"/>
      <c r="J186" s="106">
        <f t="shared" si="9"/>
        <v>1486.6666666666667</v>
      </c>
      <c r="K186" s="4"/>
      <c r="L186" s="106">
        <v>2122</v>
      </c>
      <c r="M186" s="4"/>
      <c r="N186" s="106">
        <v>1500</v>
      </c>
      <c r="O186" s="106">
        <f t="shared" si="8"/>
        <v>-622</v>
      </c>
      <c r="P186" s="4"/>
    </row>
    <row r="187" spans="1:16" x14ac:dyDescent="0.3">
      <c r="A187" s="4" t="s">
        <v>435</v>
      </c>
      <c r="B187" s="4" t="s">
        <v>436</v>
      </c>
      <c r="C187" s="4"/>
      <c r="D187" s="106">
        <v>2049.08</v>
      </c>
      <c r="E187" s="4"/>
      <c r="F187" s="106">
        <v>1031.28</v>
      </c>
      <c r="G187" s="4"/>
      <c r="H187" s="106">
        <v>563.66999999999996</v>
      </c>
      <c r="I187" s="4"/>
      <c r="J187" s="106">
        <f t="shared" si="9"/>
        <v>1214.6766666666665</v>
      </c>
      <c r="K187" s="4"/>
      <c r="L187" s="106">
        <v>1372</v>
      </c>
      <c r="M187" s="4"/>
      <c r="N187" s="106">
        <v>1200</v>
      </c>
      <c r="O187" s="106">
        <f t="shared" si="8"/>
        <v>-172</v>
      </c>
      <c r="P187" s="4"/>
    </row>
    <row r="188" spans="1:16" x14ac:dyDescent="0.3">
      <c r="A188" s="4" t="s">
        <v>437</v>
      </c>
      <c r="B188" s="4" t="s">
        <v>438</v>
      </c>
      <c r="C188" s="4"/>
      <c r="D188" s="106">
        <v>0</v>
      </c>
      <c r="E188" s="4"/>
      <c r="F188" s="106">
        <v>0</v>
      </c>
      <c r="G188" s="4"/>
      <c r="H188" s="106">
        <v>0</v>
      </c>
      <c r="I188" s="4"/>
      <c r="J188" s="106">
        <f t="shared" si="9"/>
        <v>0</v>
      </c>
      <c r="K188" s="4"/>
      <c r="L188" s="106">
        <v>0</v>
      </c>
      <c r="M188" s="4"/>
      <c r="N188" s="106">
        <v>0</v>
      </c>
      <c r="O188" s="106">
        <f t="shared" si="8"/>
        <v>0</v>
      </c>
      <c r="P188" s="4"/>
    </row>
    <row r="189" spans="1:16" x14ac:dyDescent="0.3">
      <c r="A189" s="4" t="s">
        <v>439</v>
      </c>
      <c r="B189" s="4" t="s">
        <v>440</v>
      </c>
      <c r="C189" s="4"/>
      <c r="D189" s="106">
        <v>508.06</v>
      </c>
      <c r="E189" s="4"/>
      <c r="F189" s="106">
        <v>52.2</v>
      </c>
      <c r="G189" s="4"/>
      <c r="H189" s="106">
        <v>990</v>
      </c>
      <c r="I189" s="4"/>
      <c r="J189" s="106">
        <f t="shared" si="9"/>
        <v>516.75333333333333</v>
      </c>
      <c r="K189" s="4"/>
      <c r="L189" s="106">
        <v>187</v>
      </c>
      <c r="M189" s="4"/>
      <c r="N189" s="106">
        <v>500</v>
      </c>
      <c r="O189" s="106">
        <f t="shared" si="8"/>
        <v>313</v>
      </c>
      <c r="P189" s="4"/>
    </row>
    <row r="190" spans="1:16" x14ac:dyDescent="0.3">
      <c r="A190" s="4" t="s">
        <v>441</v>
      </c>
      <c r="B190" s="4" t="s">
        <v>442</v>
      </c>
      <c r="C190" s="4"/>
      <c r="D190" s="106">
        <v>0</v>
      </c>
      <c r="E190" s="4"/>
      <c r="F190" s="106">
        <v>1300.05</v>
      </c>
      <c r="G190" s="4"/>
      <c r="H190" s="106">
        <v>268.57</v>
      </c>
      <c r="I190" s="4"/>
      <c r="J190" s="106">
        <f t="shared" si="9"/>
        <v>522.87333333333333</v>
      </c>
      <c r="K190" s="4"/>
      <c r="L190" s="106">
        <v>435</v>
      </c>
      <c r="M190" s="4"/>
      <c r="N190" s="106">
        <v>500</v>
      </c>
      <c r="O190" s="106">
        <f t="shared" si="8"/>
        <v>65</v>
      </c>
      <c r="P190" s="4"/>
    </row>
    <row r="191" spans="1:16" x14ac:dyDescent="0.3">
      <c r="A191" s="4" t="s">
        <v>443</v>
      </c>
      <c r="B191" s="4" t="s">
        <v>444</v>
      </c>
      <c r="C191" s="4"/>
      <c r="D191" s="106">
        <v>0</v>
      </c>
      <c r="E191" s="4"/>
      <c r="F191" s="106">
        <v>0</v>
      </c>
      <c r="G191" s="4"/>
      <c r="H191" s="106">
        <v>0</v>
      </c>
      <c r="I191" s="4"/>
      <c r="J191" s="106">
        <f t="shared" si="9"/>
        <v>0</v>
      </c>
      <c r="K191" s="4"/>
      <c r="L191" s="106">
        <v>0</v>
      </c>
      <c r="M191" s="4"/>
      <c r="N191" s="106">
        <v>0</v>
      </c>
      <c r="O191" s="106">
        <f t="shared" si="8"/>
        <v>0</v>
      </c>
      <c r="P191" s="4"/>
    </row>
    <row r="192" spans="1:16" x14ac:dyDescent="0.3">
      <c r="A192" s="4" t="s">
        <v>445</v>
      </c>
      <c r="B192" s="4" t="s">
        <v>446</v>
      </c>
      <c r="C192" s="4"/>
      <c r="D192" s="106">
        <v>18467</v>
      </c>
      <c r="E192" s="4"/>
      <c r="F192" s="106">
        <v>19737</v>
      </c>
      <c r="G192" s="4"/>
      <c r="H192" s="106">
        <v>26245</v>
      </c>
      <c r="I192" s="4"/>
      <c r="J192" s="106">
        <f t="shared" si="9"/>
        <v>21483</v>
      </c>
      <c r="K192" s="4"/>
      <c r="L192" s="106">
        <v>14523</v>
      </c>
      <c r="M192" s="4"/>
      <c r="N192" s="106">
        <v>26200</v>
      </c>
      <c r="O192" s="106">
        <f t="shared" si="8"/>
        <v>11677</v>
      </c>
      <c r="P192" s="4"/>
    </row>
    <row r="193" spans="1:16" x14ac:dyDescent="0.3">
      <c r="A193" s="4" t="s">
        <v>568</v>
      </c>
      <c r="B193" s="4" t="s">
        <v>569</v>
      </c>
      <c r="C193" s="4"/>
      <c r="D193" s="106">
        <v>9625</v>
      </c>
      <c r="E193" s="4"/>
      <c r="F193" s="106">
        <v>9704</v>
      </c>
      <c r="G193" s="4"/>
      <c r="H193" s="106">
        <v>19346</v>
      </c>
      <c r="I193" s="4"/>
      <c r="J193" s="106">
        <f t="shared" si="9"/>
        <v>12891.666666666666</v>
      </c>
      <c r="K193" s="4"/>
      <c r="L193" s="106">
        <v>9679</v>
      </c>
      <c r="M193" s="4"/>
      <c r="N193" s="106">
        <v>19300</v>
      </c>
      <c r="O193" s="106">
        <f t="shared" si="8"/>
        <v>9621</v>
      </c>
      <c r="P193" s="4"/>
    </row>
    <row r="194" spans="1:16" x14ac:dyDescent="0.3">
      <c r="A194" s="4" t="s">
        <v>447</v>
      </c>
      <c r="B194" s="4" t="s">
        <v>540</v>
      </c>
      <c r="C194" s="4"/>
      <c r="D194" s="106">
        <v>0</v>
      </c>
      <c r="E194" s="4"/>
      <c r="F194" s="106">
        <v>0</v>
      </c>
      <c r="G194" s="4"/>
      <c r="H194" s="106">
        <v>0</v>
      </c>
      <c r="I194" s="4"/>
      <c r="J194" s="106">
        <f t="shared" si="9"/>
        <v>0</v>
      </c>
      <c r="K194" s="4"/>
      <c r="L194" s="106">
        <f t="shared" si="10"/>
        <v>0</v>
      </c>
      <c r="M194" s="4"/>
      <c r="N194" s="106">
        <v>0</v>
      </c>
      <c r="O194" s="106">
        <f t="shared" si="8"/>
        <v>0</v>
      </c>
      <c r="P194" s="4"/>
    </row>
    <row r="195" spans="1:16" x14ac:dyDescent="0.3">
      <c r="A195" s="4" t="s">
        <v>448</v>
      </c>
      <c r="B195" s="4" t="s">
        <v>449</v>
      </c>
      <c r="C195" s="4"/>
      <c r="D195" s="106">
        <v>0</v>
      </c>
      <c r="E195" s="4"/>
      <c r="F195" s="106">
        <v>0</v>
      </c>
      <c r="G195" s="4"/>
      <c r="H195" s="106">
        <v>0</v>
      </c>
      <c r="I195" s="4"/>
      <c r="J195" s="106">
        <f t="shared" si="9"/>
        <v>0</v>
      </c>
      <c r="K195" s="4"/>
      <c r="L195" s="106">
        <v>0</v>
      </c>
      <c r="M195" s="4"/>
      <c r="N195" s="106">
        <v>0</v>
      </c>
      <c r="O195" s="106">
        <f t="shared" si="8"/>
        <v>0</v>
      </c>
      <c r="P195" s="4"/>
    </row>
    <row r="196" spans="1:16" x14ac:dyDescent="0.3">
      <c r="A196" s="4" t="s">
        <v>533</v>
      </c>
      <c r="B196" s="4" t="s">
        <v>450</v>
      </c>
      <c r="C196" s="4"/>
      <c r="D196" s="106">
        <v>11607.49</v>
      </c>
      <c r="E196" s="4"/>
      <c r="F196" s="106">
        <v>15400</v>
      </c>
      <c r="G196" s="4"/>
      <c r="H196" s="106">
        <v>13100</v>
      </c>
      <c r="I196" s="4"/>
      <c r="J196" s="106">
        <f t="shared" si="9"/>
        <v>13369.163333333332</v>
      </c>
      <c r="K196" s="4"/>
      <c r="L196" s="106">
        <v>12980</v>
      </c>
      <c r="M196" s="4"/>
      <c r="N196" s="106">
        <v>13000</v>
      </c>
      <c r="O196" s="106">
        <f t="shared" si="8"/>
        <v>20</v>
      </c>
      <c r="P196" s="4"/>
    </row>
    <row r="197" spans="1:16" x14ac:dyDescent="0.3">
      <c r="A197" s="4" t="s">
        <v>451</v>
      </c>
      <c r="B197" s="4" t="s">
        <v>452</v>
      </c>
      <c r="C197" s="4"/>
      <c r="D197" s="106">
        <v>0</v>
      </c>
      <c r="E197" s="4"/>
      <c r="F197" s="106">
        <v>0</v>
      </c>
      <c r="G197" s="4"/>
      <c r="H197" s="106">
        <v>0</v>
      </c>
      <c r="I197" s="4"/>
      <c r="J197" s="106">
        <f t="shared" si="9"/>
        <v>0</v>
      </c>
      <c r="K197" s="4"/>
      <c r="L197" s="106">
        <v>0</v>
      </c>
      <c r="M197" s="4"/>
      <c r="N197" s="106">
        <v>0</v>
      </c>
      <c r="O197" s="106">
        <f t="shared" si="8"/>
        <v>0</v>
      </c>
      <c r="P197" s="4"/>
    </row>
    <row r="198" spans="1:16" x14ac:dyDescent="0.3">
      <c r="A198" s="4" t="s">
        <v>453</v>
      </c>
      <c r="B198" s="4" t="s">
        <v>454</v>
      </c>
      <c r="C198" s="4"/>
      <c r="D198" s="106">
        <v>0</v>
      </c>
      <c r="E198" s="4"/>
      <c r="F198" s="106">
        <v>0</v>
      </c>
      <c r="G198" s="4"/>
      <c r="H198" s="106">
        <v>0</v>
      </c>
      <c r="I198" s="4"/>
      <c r="J198" s="106">
        <f t="shared" si="9"/>
        <v>0</v>
      </c>
      <c r="K198" s="4"/>
      <c r="L198" s="106">
        <v>0</v>
      </c>
      <c r="M198" s="4"/>
      <c r="N198" s="106">
        <v>0</v>
      </c>
      <c r="O198" s="106">
        <f t="shared" si="8"/>
        <v>0</v>
      </c>
      <c r="P198" s="4"/>
    </row>
    <row r="199" spans="1:16" x14ac:dyDescent="0.3">
      <c r="A199" s="4" t="s">
        <v>455</v>
      </c>
      <c r="B199" s="4" t="s">
        <v>456</v>
      </c>
      <c r="C199" s="4"/>
      <c r="D199" s="106">
        <v>0</v>
      </c>
      <c r="E199" s="4"/>
      <c r="F199" s="106">
        <v>0</v>
      </c>
      <c r="G199" s="4"/>
      <c r="H199" s="106">
        <v>0</v>
      </c>
      <c r="I199" s="4"/>
      <c r="J199" s="106">
        <f t="shared" si="9"/>
        <v>0</v>
      </c>
      <c r="K199" s="4"/>
      <c r="L199" s="106">
        <f t="shared" si="10"/>
        <v>0</v>
      </c>
      <c r="M199" s="4"/>
      <c r="N199" s="106">
        <v>0</v>
      </c>
      <c r="O199" s="106">
        <f t="shared" si="8"/>
        <v>0</v>
      </c>
      <c r="P199" s="4"/>
    </row>
    <row r="200" spans="1:16" x14ac:dyDescent="0.3">
      <c r="A200" s="4" t="s">
        <v>457</v>
      </c>
      <c r="B200" s="4" t="s">
        <v>458</v>
      </c>
      <c r="C200" s="4"/>
      <c r="D200" s="106">
        <v>0</v>
      </c>
      <c r="E200" s="4"/>
      <c r="F200" s="106">
        <v>0</v>
      </c>
      <c r="G200" s="4"/>
      <c r="H200" s="106">
        <v>0</v>
      </c>
      <c r="I200" s="4"/>
      <c r="J200" s="106">
        <f t="shared" si="9"/>
        <v>0</v>
      </c>
      <c r="K200" s="4"/>
      <c r="L200" s="106">
        <f t="shared" si="10"/>
        <v>0</v>
      </c>
      <c r="M200" s="4"/>
      <c r="N200" s="106">
        <v>0</v>
      </c>
      <c r="O200" s="106">
        <f t="shared" si="8"/>
        <v>0</v>
      </c>
      <c r="P200" s="4"/>
    </row>
    <row r="201" spans="1:16" x14ac:dyDescent="0.3">
      <c r="A201" s="4" t="s">
        <v>459</v>
      </c>
      <c r="B201" s="4" t="s">
        <v>460</v>
      </c>
      <c r="C201" s="4"/>
      <c r="D201" s="106">
        <v>0</v>
      </c>
      <c r="E201" s="4"/>
      <c r="F201" s="106">
        <v>0</v>
      </c>
      <c r="G201" s="4"/>
      <c r="H201" s="106">
        <v>0</v>
      </c>
      <c r="I201" s="4"/>
      <c r="J201" s="106">
        <f t="shared" si="9"/>
        <v>0</v>
      </c>
      <c r="K201" s="4"/>
      <c r="L201" s="106">
        <f t="shared" si="10"/>
        <v>0</v>
      </c>
      <c r="M201" s="4"/>
      <c r="N201" s="106">
        <v>0</v>
      </c>
      <c r="O201" s="106">
        <f t="shared" si="8"/>
        <v>0</v>
      </c>
      <c r="P201" s="4"/>
    </row>
    <row r="202" spans="1:16" x14ac:dyDescent="0.3">
      <c r="A202" s="4" t="s">
        <v>461</v>
      </c>
      <c r="B202" s="4" t="s">
        <v>462</v>
      </c>
      <c r="C202" s="4"/>
      <c r="D202" s="106">
        <v>0</v>
      </c>
      <c r="E202" s="4"/>
      <c r="F202" s="106">
        <v>0</v>
      </c>
      <c r="G202" s="4"/>
      <c r="H202" s="106">
        <v>0</v>
      </c>
      <c r="I202" s="4"/>
      <c r="J202" s="106">
        <f t="shared" si="9"/>
        <v>0</v>
      </c>
      <c r="K202" s="4"/>
      <c r="L202" s="106">
        <f t="shared" si="10"/>
        <v>0</v>
      </c>
      <c r="M202" s="4"/>
      <c r="N202" s="106">
        <v>0</v>
      </c>
      <c r="O202" s="106">
        <f t="shared" si="8"/>
        <v>0</v>
      </c>
      <c r="P202" s="4"/>
    </row>
    <row r="203" spans="1:16" x14ac:dyDescent="0.3">
      <c r="A203" s="4" t="s">
        <v>463</v>
      </c>
      <c r="B203" s="4" t="s">
        <v>464</v>
      </c>
      <c r="C203" s="4"/>
      <c r="D203" s="106">
        <v>8503.69</v>
      </c>
      <c r="E203" s="4"/>
      <c r="F203" s="106">
        <v>8297.44</v>
      </c>
      <c r="G203" s="4"/>
      <c r="H203" s="106">
        <v>6374.94</v>
      </c>
      <c r="I203" s="4"/>
      <c r="J203" s="106">
        <f t="shared" si="9"/>
        <v>7725.3566666666666</v>
      </c>
      <c r="K203" s="4"/>
      <c r="L203" s="106">
        <v>9109</v>
      </c>
      <c r="M203" s="4"/>
      <c r="N203" s="106">
        <v>7700</v>
      </c>
      <c r="O203" s="106">
        <f t="shared" si="8"/>
        <v>-1409</v>
      </c>
      <c r="P203" s="4"/>
    </row>
    <row r="204" spans="1:16" x14ac:dyDescent="0.3">
      <c r="A204" s="4" t="s">
        <v>465</v>
      </c>
      <c r="B204" s="4" t="s">
        <v>466</v>
      </c>
      <c r="C204" s="4"/>
      <c r="D204" s="106">
        <v>672.5</v>
      </c>
      <c r="E204" s="4"/>
      <c r="F204" s="106">
        <v>1137.5</v>
      </c>
      <c r="G204" s="4"/>
      <c r="H204" s="106">
        <v>0</v>
      </c>
      <c r="I204" s="4"/>
      <c r="J204" s="106">
        <f t="shared" si="9"/>
        <v>603.33333333333337</v>
      </c>
      <c r="K204" s="4"/>
      <c r="L204" s="106">
        <v>720</v>
      </c>
      <c r="M204" s="4"/>
      <c r="N204" s="106">
        <v>600</v>
      </c>
      <c r="O204" s="106">
        <f t="shared" si="8"/>
        <v>-120</v>
      </c>
      <c r="P204" s="4"/>
    </row>
    <row r="205" spans="1:16" x14ac:dyDescent="0.3">
      <c r="A205" s="4" t="s">
        <v>467</v>
      </c>
      <c r="B205" s="4" t="s">
        <v>468</v>
      </c>
      <c r="C205" s="4"/>
      <c r="D205" s="106">
        <v>0</v>
      </c>
      <c r="E205" s="4"/>
      <c r="F205" s="106">
        <v>0</v>
      </c>
      <c r="G205" s="4"/>
      <c r="H205" s="106">
        <v>0</v>
      </c>
      <c r="I205" s="4"/>
      <c r="J205" s="106">
        <f t="shared" si="9"/>
        <v>0</v>
      </c>
      <c r="K205" s="4"/>
      <c r="L205" s="106">
        <f t="shared" si="10"/>
        <v>0</v>
      </c>
      <c r="M205" s="4"/>
      <c r="N205" s="106">
        <v>0</v>
      </c>
      <c r="O205" s="106">
        <f t="shared" si="8"/>
        <v>0</v>
      </c>
      <c r="P205" s="4"/>
    </row>
    <row r="206" spans="1:16" x14ac:dyDescent="0.3">
      <c r="A206" s="4" t="s">
        <v>469</v>
      </c>
      <c r="B206" s="4" t="s">
        <v>470</v>
      </c>
      <c r="C206" s="4"/>
      <c r="D206" s="106">
        <v>0</v>
      </c>
      <c r="E206" s="4"/>
      <c r="F206" s="106">
        <v>0</v>
      </c>
      <c r="G206" s="4"/>
      <c r="H206" s="106">
        <v>0</v>
      </c>
      <c r="I206" s="4"/>
      <c r="J206" s="106">
        <f t="shared" si="9"/>
        <v>0</v>
      </c>
      <c r="K206" s="4"/>
      <c r="L206" s="106">
        <v>0</v>
      </c>
      <c r="M206" s="4"/>
      <c r="N206" s="106">
        <v>0</v>
      </c>
      <c r="O206" s="106">
        <f t="shared" si="8"/>
        <v>0</v>
      </c>
      <c r="P206" s="4"/>
    </row>
    <row r="207" spans="1:16" x14ac:dyDescent="0.3">
      <c r="A207" s="4" t="s">
        <v>471</v>
      </c>
      <c r="B207" s="4" t="s">
        <v>472</v>
      </c>
      <c r="C207" s="4"/>
      <c r="D207" s="106">
        <v>71002.58</v>
      </c>
      <c r="E207" s="4"/>
      <c r="F207" s="106">
        <v>77813.47</v>
      </c>
      <c r="G207" s="4"/>
      <c r="H207" s="106">
        <v>77749.490000000005</v>
      </c>
      <c r="I207" s="4"/>
      <c r="J207" s="106">
        <f t="shared" si="9"/>
        <v>75521.846666666665</v>
      </c>
      <c r="K207" s="4"/>
      <c r="L207" s="106">
        <v>77813</v>
      </c>
      <c r="M207" s="4"/>
      <c r="N207" s="106">
        <v>75500</v>
      </c>
      <c r="O207" s="106">
        <f t="shared" si="8"/>
        <v>-2313</v>
      </c>
      <c r="P207" s="4"/>
    </row>
    <row r="208" spans="1:16" x14ac:dyDescent="0.3">
      <c r="A208" s="4" t="s">
        <v>513</v>
      </c>
      <c r="B208" s="4" t="s">
        <v>515</v>
      </c>
      <c r="C208" s="4"/>
      <c r="D208" s="106">
        <v>0</v>
      </c>
      <c r="E208" s="4"/>
      <c r="F208" s="106">
        <v>0</v>
      </c>
      <c r="G208" s="4"/>
      <c r="H208" s="106">
        <v>0</v>
      </c>
      <c r="I208" s="4"/>
      <c r="J208" s="106">
        <f t="shared" si="9"/>
        <v>0</v>
      </c>
      <c r="K208" s="4"/>
      <c r="L208" s="106">
        <f t="shared" si="10"/>
        <v>0</v>
      </c>
      <c r="M208" s="4"/>
      <c r="N208" s="106">
        <v>0</v>
      </c>
      <c r="O208" s="106">
        <f t="shared" si="8"/>
        <v>0</v>
      </c>
      <c r="P208" s="4"/>
    </row>
    <row r="209" spans="1:16" x14ac:dyDescent="0.3">
      <c r="A209" s="4" t="s">
        <v>473</v>
      </c>
      <c r="B209" s="4" t="s">
        <v>474</v>
      </c>
      <c r="C209" s="4"/>
      <c r="D209" s="106">
        <v>0</v>
      </c>
      <c r="E209" s="4"/>
      <c r="F209" s="106">
        <v>0</v>
      </c>
      <c r="G209" s="4"/>
      <c r="H209" s="106">
        <v>0</v>
      </c>
      <c r="I209" s="4"/>
      <c r="J209" s="106">
        <f t="shared" si="9"/>
        <v>0</v>
      </c>
      <c r="K209" s="4"/>
      <c r="L209" s="106">
        <f t="shared" si="10"/>
        <v>0</v>
      </c>
      <c r="M209" s="4"/>
      <c r="N209" s="106">
        <v>0</v>
      </c>
      <c r="O209" s="106">
        <f t="shared" si="8"/>
        <v>0</v>
      </c>
      <c r="P209" s="4"/>
    </row>
    <row r="210" spans="1:16" x14ac:dyDescent="0.3">
      <c r="A210" s="4" t="s">
        <v>514</v>
      </c>
      <c r="B210" s="4" t="s">
        <v>516</v>
      </c>
      <c r="C210" s="4"/>
      <c r="D210" s="106">
        <v>0</v>
      </c>
      <c r="E210" s="4"/>
      <c r="F210" s="106">
        <v>0</v>
      </c>
      <c r="G210" s="4"/>
      <c r="H210" s="106">
        <v>0</v>
      </c>
      <c r="I210" s="4"/>
      <c r="J210" s="106">
        <f t="shared" si="9"/>
        <v>0</v>
      </c>
      <c r="K210" s="4"/>
      <c r="L210" s="106">
        <f t="shared" si="10"/>
        <v>0</v>
      </c>
      <c r="M210" s="4"/>
      <c r="N210" s="106">
        <v>0</v>
      </c>
      <c r="O210" s="106">
        <f t="shared" si="8"/>
        <v>0</v>
      </c>
      <c r="P210" s="4"/>
    </row>
    <row r="211" spans="1:16" x14ac:dyDescent="0.3">
      <c r="A211" s="4" t="s">
        <v>534</v>
      </c>
      <c r="B211" s="4" t="s">
        <v>475</v>
      </c>
      <c r="C211" s="4"/>
      <c r="D211" s="106">
        <v>0</v>
      </c>
      <c r="E211" s="4"/>
      <c r="F211" s="106">
        <v>0</v>
      </c>
      <c r="G211" s="4"/>
      <c r="H211" s="106">
        <v>0</v>
      </c>
      <c r="I211" s="4"/>
      <c r="J211" s="106">
        <f t="shared" si="9"/>
        <v>0</v>
      </c>
      <c r="K211" s="4"/>
      <c r="L211" s="106">
        <f t="shared" si="10"/>
        <v>0</v>
      </c>
      <c r="M211" s="4"/>
      <c r="N211" s="106">
        <v>0</v>
      </c>
      <c r="O211" s="106">
        <f t="shared" si="8"/>
        <v>0</v>
      </c>
      <c r="P211" s="4"/>
    </row>
    <row r="212" spans="1:16" x14ac:dyDescent="0.3">
      <c r="A212" s="4" t="s">
        <v>476</v>
      </c>
      <c r="B212" s="4" t="s">
        <v>477</v>
      </c>
      <c r="C212" s="4"/>
      <c r="D212" s="106">
        <v>0</v>
      </c>
      <c r="E212" s="4"/>
      <c r="F212" s="106">
        <v>0</v>
      </c>
      <c r="G212" s="4"/>
      <c r="H212" s="106">
        <v>0</v>
      </c>
      <c r="I212" s="4"/>
      <c r="J212" s="106">
        <f t="shared" si="9"/>
        <v>0</v>
      </c>
      <c r="K212" s="4"/>
      <c r="L212" s="106">
        <v>0</v>
      </c>
      <c r="M212" s="4"/>
      <c r="N212" s="152">
        <f>3000000-1062000+712198+5119</f>
        <v>2655317</v>
      </c>
      <c r="O212" s="106">
        <f t="shared" si="8"/>
        <v>2655317</v>
      </c>
      <c r="P212" s="4" t="s">
        <v>709</v>
      </c>
    </row>
    <row r="213" spans="1:16" x14ac:dyDescent="0.3">
      <c r="A213" s="4" t="s">
        <v>478</v>
      </c>
      <c r="B213" s="4" t="s">
        <v>479</v>
      </c>
      <c r="C213" s="4"/>
      <c r="D213" s="106">
        <v>43184.17</v>
      </c>
      <c r="E213" s="4"/>
      <c r="F213" s="106">
        <v>96560</v>
      </c>
      <c r="G213" s="4"/>
      <c r="H213" s="106">
        <v>80620</v>
      </c>
      <c r="I213" s="4"/>
      <c r="J213" s="106">
        <f t="shared" si="9"/>
        <v>73454.723333333328</v>
      </c>
      <c r="K213" s="4"/>
      <c r="L213" s="106">
        <v>100000</v>
      </c>
      <c r="M213" s="4"/>
      <c r="N213" s="106">
        <f>100000+17500</f>
        <v>117500</v>
      </c>
      <c r="O213" s="106">
        <f t="shared" si="8"/>
        <v>17500</v>
      </c>
      <c r="P213" s="4"/>
    </row>
    <row r="214" spans="1:16" x14ac:dyDescent="0.3">
      <c r="A214" s="4" t="s">
        <v>480</v>
      </c>
      <c r="B214" s="4" t="s">
        <v>481</v>
      </c>
      <c r="C214" s="4"/>
      <c r="D214" s="106">
        <v>0</v>
      </c>
      <c r="E214" s="4"/>
      <c r="F214" s="106">
        <v>0</v>
      </c>
      <c r="G214" s="4"/>
      <c r="H214" s="106">
        <v>0</v>
      </c>
      <c r="I214" s="4"/>
      <c r="J214" s="106">
        <f t="shared" si="9"/>
        <v>0</v>
      </c>
      <c r="K214" s="4"/>
      <c r="L214" s="106">
        <f t="shared" si="10"/>
        <v>0</v>
      </c>
      <c r="M214" s="4"/>
      <c r="N214" s="106">
        <v>0</v>
      </c>
      <c r="O214" s="106">
        <f t="shared" si="8"/>
        <v>0</v>
      </c>
      <c r="P214" s="4"/>
    </row>
    <row r="215" spans="1:16" x14ac:dyDescent="0.3">
      <c r="A215" s="4" t="s">
        <v>504</v>
      </c>
      <c r="B215" s="4" t="s">
        <v>505</v>
      </c>
      <c r="C215" s="4"/>
      <c r="D215" s="106">
        <v>0</v>
      </c>
      <c r="E215" s="4"/>
      <c r="F215" s="106">
        <v>60000</v>
      </c>
      <c r="G215" s="4"/>
      <c r="H215" s="106">
        <v>60000</v>
      </c>
      <c r="I215" s="4"/>
      <c r="J215" s="106">
        <f t="shared" si="9"/>
        <v>40000</v>
      </c>
      <c r="K215" s="4"/>
      <c r="L215" s="153">
        <v>150000</v>
      </c>
      <c r="M215" s="4"/>
      <c r="N215" s="153">
        <v>60000</v>
      </c>
      <c r="O215" s="153">
        <f t="shared" si="8"/>
        <v>-90000</v>
      </c>
      <c r="P215" s="4"/>
    </row>
    <row r="216" spans="1:16" ht="15" thickBot="1" x14ac:dyDescent="0.35">
      <c r="A216" s="4"/>
      <c r="B216" s="4"/>
      <c r="C216" s="4" t="s">
        <v>16</v>
      </c>
      <c r="D216" s="150">
        <f>SUM(D10:D215)</f>
        <v>27275090.779999971</v>
      </c>
      <c r="E216" s="4" t="s">
        <v>16</v>
      </c>
      <c r="F216" s="150">
        <f>SUM(F10:F215)</f>
        <v>29628904.450000003</v>
      </c>
      <c r="G216" s="4" t="s">
        <v>16</v>
      </c>
      <c r="H216" s="150">
        <f>SUM(H10:H215)</f>
        <v>32554416.499999996</v>
      </c>
      <c r="I216" s="4" t="s">
        <v>16</v>
      </c>
      <c r="J216" s="150">
        <f>SUM(J10:J215)</f>
        <v>29819470.576666653</v>
      </c>
      <c r="K216" s="4" t="s">
        <v>16</v>
      </c>
      <c r="L216" s="150">
        <f>SUM(L10:L215)</f>
        <v>35747174.100000001</v>
      </c>
      <c r="M216" s="4" t="s">
        <v>16</v>
      </c>
      <c r="N216" s="154">
        <f>SUM(N10:N215)</f>
        <v>42582468</v>
      </c>
      <c r="O216" s="150">
        <f>+N216-L216</f>
        <v>6835293.8999999985</v>
      </c>
      <c r="P216" s="4"/>
    </row>
    <row r="217" spans="1:16" ht="15" thickTop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>
        <v>41166352</v>
      </c>
      <c r="O218" s="4" t="s">
        <v>86</v>
      </c>
      <c r="P218" s="4"/>
    </row>
    <row r="219" spans="1:16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>
        <v>41165987</v>
      </c>
      <c r="O219" s="4" t="s">
        <v>692</v>
      </c>
      <c r="P219" s="4"/>
    </row>
    <row r="220" spans="1:16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 t="s">
        <v>693</v>
      </c>
      <c r="P220" s="4"/>
    </row>
    <row r="221" spans="1:16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</sheetData>
  <mergeCells count="3">
    <mergeCell ref="A1:O1"/>
    <mergeCell ref="A2:O2"/>
    <mergeCell ref="A3:O3"/>
  </mergeCells>
  <pageMargins left="0.25" right="0.25" top="0.5" bottom="0.5" header="0" footer="0"/>
  <pageSetup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0"/>
  <sheetViews>
    <sheetView zoomScale="102" zoomScaleNormal="102" workbookViewId="0">
      <selection activeCell="D11" sqref="D11"/>
    </sheetView>
  </sheetViews>
  <sheetFormatPr defaultColWidth="8.6640625" defaultRowHeight="14.4" x14ac:dyDescent="0.3"/>
  <cols>
    <col min="1" max="1" width="18.44140625" customWidth="1"/>
    <col min="2" max="2" width="30.109375" customWidth="1"/>
    <col min="3" max="3" width="2" bestFit="1" customWidth="1"/>
    <col min="5" max="5" width="1.6640625" customWidth="1"/>
    <col min="6" max="6" width="11.6640625" customWidth="1"/>
    <col min="7" max="7" width="1.6640625" customWidth="1"/>
    <col min="8" max="8" width="12" customWidth="1"/>
    <col min="9" max="9" width="1.6640625" customWidth="1"/>
    <col min="10" max="10" width="10.5546875" customWidth="1"/>
    <col min="11" max="11" width="1.6640625" customWidth="1"/>
    <col min="12" max="12" width="9.5546875" bestFit="1" customWidth="1"/>
    <col min="13" max="13" width="1.6640625" customWidth="1"/>
    <col min="14" max="14" width="13.5546875" bestFit="1" customWidth="1"/>
    <col min="16" max="16" width="36.5546875" bestFit="1" customWidth="1"/>
  </cols>
  <sheetData>
    <row r="1" spans="1:16" ht="17.399999999999999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4"/>
      <c r="P1" s="4"/>
    </row>
    <row r="2" spans="1:16" ht="15.6" x14ac:dyDescent="0.3">
      <c r="A2" s="172" t="s">
        <v>522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4"/>
      <c r="P2" s="4"/>
    </row>
    <row r="3" spans="1:16" ht="15.6" x14ac:dyDescent="0.3">
      <c r="A3" s="172" t="s">
        <v>691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4"/>
      <c r="P3" s="4"/>
    </row>
    <row r="4" spans="1:16" ht="15.6" x14ac:dyDescent="0.3">
      <c r="A4" s="145"/>
      <c r="B4" s="14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6.2" thickBot="1" x14ac:dyDescent="0.35">
      <c r="A5" s="145"/>
      <c r="B5" s="145"/>
      <c r="C5" s="4"/>
      <c r="D5" s="4"/>
      <c r="E5" s="4"/>
      <c r="F5" s="53"/>
      <c r="G5" s="146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18"/>
      <c r="B6" s="19"/>
      <c r="C6" s="19"/>
      <c r="D6" s="11">
        <v>2019</v>
      </c>
      <c r="E6" s="19"/>
      <c r="F6" s="11">
        <v>2020</v>
      </c>
      <c r="G6" s="19"/>
      <c r="H6" s="11">
        <v>2021</v>
      </c>
      <c r="I6" s="19"/>
      <c r="J6" s="11" t="s">
        <v>85</v>
      </c>
      <c r="K6" s="11"/>
      <c r="L6" s="11">
        <v>2022</v>
      </c>
      <c r="M6" s="11"/>
      <c r="N6" s="8">
        <v>2023</v>
      </c>
      <c r="O6" s="4"/>
      <c r="P6" s="4"/>
    </row>
    <row r="7" spans="1:16" x14ac:dyDescent="0.3">
      <c r="A7" s="23" t="s">
        <v>11</v>
      </c>
      <c r="B7" s="7" t="s">
        <v>11</v>
      </c>
      <c r="C7" s="7"/>
      <c r="D7" s="7" t="s">
        <v>86</v>
      </c>
      <c r="E7" s="7"/>
      <c r="F7" s="7" t="s">
        <v>86</v>
      </c>
      <c r="G7" s="32"/>
      <c r="H7" s="7" t="s">
        <v>86</v>
      </c>
      <c r="I7" s="4"/>
      <c r="J7" s="7" t="s">
        <v>87</v>
      </c>
      <c r="K7" s="7"/>
      <c r="L7" s="7" t="s">
        <v>88</v>
      </c>
      <c r="M7" s="4"/>
      <c r="N7" s="9" t="s">
        <v>3</v>
      </c>
      <c r="O7" s="4"/>
      <c r="P7" s="4"/>
    </row>
    <row r="8" spans="1:16" ht="15" thickBot="1" x14ac:dyDescent="0.35">
      <c r="A8" s="26" t="s">
        <v>7</v>
      </c>
      <c r="B8" s="27" t="s">
        <v>8</v>
      </c>
      <c r="C8" s="27"/>
      <c r="D8" s="27" t="s">
        <v>9</v>
      </c>
      <c r="E8" s="27"/>
      <c r="F8" s="27" t="s">
        <v>9</v>
      </c>
      <c r="G8" s="147"/>
      <c r="H8" s="27" t="s">
        <v>9</v>
      </c>
      <c r="I8" s="60"/>
      <c r="J8" s="27" t="s">
        <v>89</v>
      </c>
      <c r="K8" s="27"/>
      <c r="L8" s="27" t="s">
        <v>11</v>
      </c>
      <c r="M8" s="60"/>
      <c r="N8" s="29" t="s">
        <v>9</v>
      </c>
      <c r="O8" s="4"/>
      <c r="P8" s="4"/>
    </row>
    <row r="9" spans="1:16" x14ac:dyDescent="0.3">
      <c r="A9" s="4"/>
      <c r="B9" s="4"/>
      <c r="C9" s="134"/>
      <c r="D9" s="134"/>
      <c r="E9" s="134"/>
      <c r="F9" s="4"/>
      <c r="G9" s="4"/>
      <c r="H9" s="4"/>
      <c r="I9" s="4"/>
      <c r="J9" s="4"/>
      <c r="K9" s="4"/>
      <c r="L9" s="4"/>
      <c r="M9" s="4"/>
      <c r="N9" s="7"/>
      <c r="O9" s="4"/>
      <c r="P9" s="4"/>
    </row>
    <row r="10" spans="1:16" x14ac:dyDescent="0.3">
      <c r="A10" s="4"/>
      <c r="B10" s="4"/>
      <c r="C10" s="38"/>
      <c r="D10" s="38"/>
      <c r="E10" s="38"/>
      <c r="F10" s="38"/>
      <c r="G10" s="4"/>
      <c r="H10" s="38"/>
      <c r="I10" s="4"/>
      <c r="J10" s="4"/>
      <c r="K10" s="4"/>
      <c r="L10" s="106"/>
      <c r="M10" s="4"/>
      <c r="N10" s="4"/>
      <c r="O10" s="4"/>
      <c r="P10" s="4"/>
    </row>
    <row r="11" spans="1:16" x14ac:dyDescent="0.3">
      <c r="A11" s="4" t="s">
        <v>482</v>
      </c>
      <c r="B11" s="4" t="s">
        <v>483</v>
      </c>
      <c r="C11" s="38" t="s">
        <v>16</v>
      </c>
      <c r="D11" s="38">
        <v>576048</v>
      </c>
      <c r="E11" s="38" t="s">
        <v>16</v>
      </c>
      <c r="F11" s="38">
        <v>3422196.51</v>
      </c>
      <c r="G11" s="38" t="s">
        <v>16</v>
      </c>
      <c r="H11" s="38">
        <v>4176446.79</v>
      </c>
      <c r="I11" s="38" t="s">
        <v>16</v>
      </c>
      <c r="J11" s="38">
        <f t="shared" ref="J11:J21" si="0">(+D11+F11+H11)/3</f>
        <v>2724897.1</v>
      </c>
      <c r="K11" s="38" t="s">
        <v>16</v>
      </c>
      <c r="L11" s="106">
        <v>3954673</v>
      </c>
      <c r="M11" s="38" t="s">
        <v>16</v>
      </c>
      <c r="N11" s="106">
        <v>5160800</v>
      </c>
      <c r="O11" s="4"/>
      <c r="P11" s="4"/>
    </row>
    <row r="12" spans="1:16" x14ac:dyDescent="0.3">
      <c r="A12" s="4" t="s">
        <v>484</v>
      </c>
      <c r="B12" s="4" t="s">
        <v>95</v>
      </c>
      <c r="C12" s="38"/>
      <c r="D12" s="38">
        <v>21530</v>
      </c>
      <c r="E12" s="38"/>
      <c r="F12" s="38">
        <v>52927.360000000001</v>
      </c>
      <c r="G12" s="4"/>
      <c r="H12" s="38">
        <v>78577.81</v>
      </c>
      <c r="I12" s="4"/>
      <c r="J12" s="38">
        <f t="shared" si="0"/>
        <v>51011.723333333328</v>
      </c>
      <c r="K12" s="4"/>
      <c r="L12" s="106">
        <v>37838</v>
      </c>
      <c r="M12" s="4"/>
      <c r="N12" s="106">
        <v>37800</v>
      </c>
      <c r="O12" s="4"/>
      <c r="P12" s="4"/>
    </row>
    <row r="13" spans="1:16" x14ac:dyDescent="0.3">
      <c r="A13" s="4" t="s">
        <v>485</v>
      </c>
      <c r="B13" s="4" t="s">
        <v>486</v>
      </c>
      <c r="C13" s="38"/>
      <c r="D13" s="38">
        <v>0</v>
      </c>
      <c r="E13" s="38"/>
      <c r="F13" s="38">
        <v>44780.07</v>
      </c>
      <c r="G13" s="4"/>
      <c r="H13" s="38">
        <v>0</v>
      </c>
      <c r="I13" s="4"/>
      <c r="J13" s="38">
        <f t="shared" si="0"/>
        <v>14926.69</v>
      </c>
      <c r="K13" s="4"/>
      <c r="L13" s="106">
        <v>0</v>
      </c>
      <c r="M13" s="4"/>
      <c r="N13" s="106"/>
      <c r="O13" s="4"/>
      <c r="P13" s="4"/>
    </row>
    <row r="14" spans="1:16" x14ac:dyDescent="0.3">
      <c r="A14" s="4" t="s">
        <v>487</v>
      </c>
      <c r="B14" s="4" t="s">
        <v>99</v>
      </c>
      <c r="C14" s="38"/>
      <c r="D14" s="38">
        <v>14874</v>
      </c>
      <c r="E14" s="38"/>
      <c r="F14" s="38">
        <v>0</v>
      </c>
      <c r="G14" s="4"/>
      <c r="H14" s="38">
        <v>61243.38</v>
      </c>
      <c r="I14" s="4"/>
      <c r="J14" s="38">
        <f t="shared" si="0"/>
        <v>25372.460000000003</v>
      </c>
      <c r="K14" s="38"/>
      <c r="L14" s="106">
        <v>34845</v>
      </c>
      <c r="M14" s="4"/>
      <c r="N14" s="106">
        <v>34800</v>
      </c>
      <c r="O14" s="4"/>
      <c r="P14" s="4"/>
    </row>
    <row r="15" spans="1:16" x14ac:dyDescent="0.3">
      <c r="A15" s="4" t="s">
        <v>488</v>
      </c>
      <c r="B15" s="4" t="s">
        <v>489</v>
      </c>
      <c r="C15" s="38"/>
      <c r="D15" s="38">
        <v>0</v>
      </c>
      <c r="E15" s="38"/>
      <c r="F15" s="38">
        <v>0</v>
      </c>
      <c r="G15" s="4"/>
      <c r="H15" s="38">
        <v>0</v>
      </c>
      <c r="I15" s="4"/>
      <c r="J15" s="38">
        <f t="shared" si="0"/>
        <v>0</v>
      </c>
      <c r="K15" s="4"/>
      <c r="L15" s="106">
        <v>0</v>
      </c>
      <c r="M15" s="4"/>
      <c r="N15" s="106"/>
      <c r="O15" s="4"/>
      <c r="P15" s="4"/>
    </row>
    <row r="16" spans="1:16" x14ac:dyDescent="0.3">
      <c r="A16" s="4" t="s">
        <v>535</v>
      </c>
      <c r="B16" s="4" t="s">
        <v>490</v>
      </c>
      <c r="C16" s="38"/>
      <c r="D16" s="38">
        <v>26713.32</v>
      </c>
      <c r="E16" s="38"/>
      <c r="F16" s="38">
        <v>0</v>
      </c>
      <c r="G16" s="4"/>
      <c r="H16" s="38">
        <v>0</v>
      </c>
      <c r="I16" s="4"/>
      <c r="J16" s="38">
        <f t="shared" si="0"/>
        <v>8904.44</v>
      </c>
      <c r="K16" s="4"/>
      <c r="L16" s="106">
        <v>0</v>
      </c>
      <c r="M16" s="4"/>
      <c r="N16" s="106"/>
      <c r="O16" s="4"/>
      <c r="P16" s="4"/>
    </row>
    <row r="17" spans="1:17" x14ac:dyDescent="0.3">
      <c r="A17" s="4" t="s">
        <v>491</v>
      </c>
      <c r="B17" s="4" t="s">
        <v>492</v>
      </c>
      <c r="C17" s="38"/>
      <c r="D17" s="38">
        <v>0</v>
      </c>
      <c r="E17" s="38"/>
      <c r="F17" s="38">
        <v>0</v>
      </c>
      <c r="G17" s="4"/>
      <c r="H17" s="38">
        <v>0</v>
      </c>
      <c r="I17" s="4"/>
      <c r="J17" s="38">
        <f t="shared" si="0"/>
        <v>0</v>
      </c>
      <c r="K17" s="4"/>
      <c r="L17" s="106">
        <v>0</v>
      </c>
      <c r="M17" s="4"/>
      <c r="N17" s="106"/>
      <c r="O17" s="4"/>
      <c r="P17" s="4"/>
    </row>
    <row r="18" spans="1:17" x14ac:dyDescent="0.3">
      <c r="A18" s="4" t="s">
        <v>545</v>
      </c>
      <c r="B18" s="4" t="s">
        <v>499</v>
      </c>
      <c r="C18" s="38"/>
      <c r="D18" s="38">
        <v>2365</v>
      </c>
      <c r="E18" s="38"/>
      <c r="F18" s="38">
        <v>0</v>
      </c>
      <c r="G18" s="4"/>
      <c r="H18" s="38">
        <v>14450.75</v>
      </c>
      <c r="I18" s="4"/>
      <c r="J18" s="38">
        <f t="shared" si="0"/>
        <v>5605.25</v>
      </c>
      <c r="K18" s="4"/>
      <c r="L18" s="106">
        <v>13503</v>
      </c>
      <c r="M18" s="4"/>
      <c r="N18" s="106">
        <v>13500</v>
      </c>
      <c r="O18" s="4"/>
      <c r="P18" s="4"/>
    </row>
    <row r="19" spans="1:17" x14ac:dyDescent="0.3">
      <c r="A19" s="4" t="s">
        <v>493</v>
      </c>
      <c r="B19" s="4" t="s">
        <v>494</v>
      </c>
      <c r="C19" s="38"/>
      <c r="D19" s="38">
        <v>0</v>
      </c>
      <c r="E19" s="38"/>
      <c r="F19" s="38">
        <v>0</v>
      </c>
      <c r="G19" s="4"/>
      <c r="H19" s="38">
        <v>0</v>
      </c>
      <c r="I19" s="4"/>
      <c r="J19" s="38">
        <f t="shared" si="0"/>
        <v>0</v>
      </c>
      <c r="K19" s="4"/>
      <c r="L19" s="106">
        <v>0</v>
      </c>
      <c r="M19" s="4"/>
      <c r="N19" s="106"/>
      <c r="O19" s="4"/>
      <c r="P19" s="4"/>
    </row>
    <row r="20" spans="1:17" x14ac:dyDescent="0.3">
      <c r="A20" s="4" t="s">
        <v>495</v>
      </c>
      <c r="B20" s="4" t="s">
        <v>496</v>
      </c>
      <c r="C20" s="38"/>
      <c r="D20" s="38">
        <v>0</v>
      </c>
      <c r="E20" s="38"/>
      <c r="F20" s="38">
        <v>0</v>
      </c>
      <c r="G20" s="4"/>
      <c r="H20" s="38">
        <v>0</v>
      </c>
      <c r="I20" s="4"/>
      <c r="J20" s="38">
        <f t="shared" si="0"/>
        <v>0</v>
      </c>
      <c r="K20" s="4"/>
      <c r="L20" s="106">
        <v>0</v>
      </c>
      <c r="M20" s="4"/>
      <c r="N20" s="106"/>
      <c r="O20" s="4"/>
      <c r="P20" s="4"/>
    </row>
    <row r="21" spans="1:17" x14ac:dyDescent="0.3">
      <c r="A21" s="4" t="s">
        <v>497</v>
      </c>
      <c r="B21" s="4" t="s">
        <v>498</v>
      </c>
      <c r="C21" s="38"/>
      <c r="D21" s="38">
        <v>0</v>
      </c>
      <c r="E21" s="38"/>
      <c r="F21" s="38">
        <v>0</v>
      </c>
      <c r="G21" s="4"/>
      <c r="H21" s="38">
        <v>0</v>
      </c>
      <c r="I21" s="4"/>
      <c r="J21" s="38">
        <f t="shared" si="0"/>
        <v>0</v>
      </c>
      <c r="K21" s="4"/>
      <c r="L21" s="106">
        <v>0</v>
      </c>
      <c r="M21" s="4"/>
      <c r="N21" s="152">
        <v>1000000</v>
      </c>
      <c r="O21" s="4"/>
      <c r="P21" s="4" t="s">
        <v>708</v>
      </c>
      <c r="Q21" t="s">
        <v>580</v>
      </c>
    </row>
    <row r="22" spans="1:17" ht="15" thickBot="1" x14ac:dyDescent="0.35">
      <c r="A22" s="4"/>
      <c r="B22" s="4"/>
      <c r="C22" s="38" t="s">
        <v>16</v>
      </c>
      <c r="D22" s="149">
        <f>SUM(D11:D21)</f>
        <v>641530.31999999995</v>
      </c>
      <c r="E22" s="38" t="s">
        <v>16</v>
      </c>
      <c r="F22" s="149">
        <f>SUM(F11:F21)</f>
        <v>3519903.9399999995</v>
      </c>
      <c r="G22" s="38" t="s">
        <v>16</v>
      </c>
      <c r="H22" s="149">
        <f>SUM(H11:H21)</f>
        <v>4330718.7299999995</v>
      </c>
      <c r="I22" s="38" t="s">
        <v>16</v>
      </c>
      <c r="J22" s="149">
        <f>SUM(J11:J21)</f>
        <v>2830717.6633333331</v>
      </c>
      <c r="K22" s="38" t="s">
        <v>16</v>
      </c>
      <c r="L22" s="150">
        <f>SUM(L11:L21)</f>
        <v>4040859</v>
      </c>
      <c r="M22" s="38" t="s">
        <v>16</v>
      </c>
      <c r="N22" s="149">
        <f>SUM(N11:N21)</f>
        <v>6246900</v>
      </c>
      <c r="O22" s="4"/>
      <c r="P22" s="4"/>
    </row>
    <row r="23" spans="1:17" ht="15" thickTop="1" x14ac:dyDescent="0.3">
      <c r="A23" s="4"/>
      <c r="B23" s="4"/>
      <c r="C23" s="4"/>
      <c r="D23" s="38"/>
      <c r="E23" s="38"/>
      <c r="F23" s="91"/>
      <c r="G23" s="38"/>
      <c r="H23" s="38"/>
      <c r="I23" s="4"/>
      <c r="J23" s="38"/>
      <c r="K23" s="4"/>
      <c r="L23" s="106"/>
      <c r="M23" s="4"/>
      <c r="N23" s="38"/>
      <c r="O23" s="4"/>
      <c r="P23" s="4"/>
    </row>
    <row r="24" spans="1:17" x14ac:dyDescent="0.3">
      <c r="A24" s="4"/>
      <c r="B24" s="4" t="s">
        <v>678</v>
      </c>
      <c r="C24" s="4"/>
      <c r="D24" s="38"/>
      <c r="E24" s="38"/>
      <c r="F24" s="91"/>
      <c r="G24" s="38"/>
      <c r="H24" s="38"/>
      <c r="I24" s="4"/>
      <c r="J24" s="38"/>
      <c r="K24" s="4"/>
      <c r="L24" s="106"/>
      <c r="M24" s="38" t="s">
        <v>16</v>
      </c>
      <c r="N24" s="38">
        <v>3643366.6</v>
      </c>
      <c r="O24" s="4"/>
      <c r="P24" s="4"/>
    </row>
    <row r="25" spans="1:17" x14ac:dyDescent="0.3">
      <c r="A25" s="4"/>
      <c r="B25" s="4" t="s">
        <v>679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55">
        <f>1370706.63+1000000</f>
        <v>2370706.63</v>
      </c>
      <c r="O25" s="4"/>
      <c r="P25" s="4"/>
    </row>
    <row r="26" spans="1:17" ht="15" thickBo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8" t="s">
        <v>16</v>
      </c>
      <c r="N26" s="149">
        <f>SUM(N24:N25)</f>
        <v>6014073.2300000004</v>
      </c>
      <c r="O26" s="4"/>
      <c r="P26" s="4"/>
    </row>
    <row r="27" spans="1:17" ht="15" thickTop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06">
        <f>+N26-N22</f>
        <v>-232826.76999999955</v>
      </c>
      <c r="O27" s="4"/>
      <c r="P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06"/>
      <c r="O29" s="4"/>
      <c r="P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mergeCells count="3">
    <mergeCell ref="A1:N1"/>
    <mergeCell ref="A2:N2"/>
    <mergeCell ref="A3:N3"/>
  </mergeCells>
  <pageMargins left="0.25" right="0.25" top="0.5" bottom="0.5" header="0" footer="0"/>
  <pageSetup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2023 Budget Summary</vt:lpstr>
      <vt:lpstr>Tax Rate Data</vt:lpstr>
      <vt:lpstr>Appraised Value Data</vt:lpstr>
      <vt:lpstr>Revenue-R&amp;B</vt:lpstr>
      <vt:lpstr>Revenue-General</vt:lpstr>
      <vt:lpstr>Revenue-Debt Service</vt:lpstr>
      <vt:lpstr>'2023 Budget Summary'!Print_Area</vt:lpstr>
      <vt:lpstr>'2023 Budget Summary'!Print_Titles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Auditor</dc:creator>
  <cp:lastModifiedBy>Alan Younts</cp:lastModifiedBy>
  <cp:lastPrinted>2023-04-28T16:53:12Z</cp:lastPrinted>
  <dcterms:created xsi:type="dcterms:W3CDTF">2012-06-01T14:34:01Z</dcterms:created>
  <dcterms:modified xsi:type="dcterms:W3CDTF">2023-05-02T13:31:52Z</dcterms:modified>
</cp:coreProperties>
</file>